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utocargador 10 t" sheetId="1" r:id="rId1"/>
    <sheet name="Metodología" sheetId="2" r:id="rId2"/>
  </sheets>
  <definedNames>
    <definedName name="_xlnm.Print_Area" localSheetId="0">'Autocargador 10 t'!$A$1:$K$64</definedName>
    <definedName name="_xlnm.Print_Area" localSheetId="1">'Metodología'!$A$1:$A$32</definedName>
  </definedNames>
  <calcPr fullCalcOnLoad="1"/>
</workbook>
</file>

<file path=xl/sharedStrings.xml><?xml version="1.0" encoding="utf-8"?>
<sst xmlns="http://schemas.openxmlformats.org/spreadsheetml/2006/main" count="158" uniqueCount="116">
  <si>
    <t>OPERACIÓN:</t>
  </si>
  <si>
    <t>AUXILIAR</t>
  </si>
  <si>
    <t xml:space="preserve">APERO: </t>
  </si>
  <si>
    <t>Número de líneas</t>
  </si>
  <si>
    <t>ud</t>
  </si>
  <si>
    <t>Eficiencia de trabajo</t>
  </si>
  <si>
    <t>Separación entre líneas</t>
  </si>
  <si>
    <t>m</t>
  </si>
  <si>
    <t>Baja</t>
  </si>
  <si>
    <t>Anchura de trabajo</t>
  </si>
  <si>
    <t>Media</t>
  </si>
  <si>
    <t>Velocidad de trabajo</t>
  </si>
  <si>
    <t>km/h</t>
  </si>
  <si>
    <t>Alta</t>
  </si>
  <si>
    <t>Nivel de carga de trabajo (%)</t>
  </si>
  <si>
    <t>Bajo</t>
  </si>
  <si>
    <t>Medio</t>
  </si>
  <si>
    <t>RESULTADOS MAPA</t>
  </si>
  <si>
    <t>Alto</t>
  </si>
  <si>
    <t>consumos</t>
  </si>
  <si>
    <t>kW</t>
  </si>
  <si>
    <t>cap.trab. alta</t>
  </si>
  <si>
    <t>CV</t>
  </si>
  <si>
    <t>Nivel potencia tractor (CV)</t>
  </si>
  <si>
    <t>cap.trab. normal</t>
  </si>
  <si>
    <t>Pequeño</t>
  </si>
  <si>
    <t>Mediano</t>
  </si>
  <si>
    <t>Hipótesis tractor auxiliar</t>
  </si>
  <si>
    <t>Capacidad trabajo teórica</t>
  </si>
  <si>
    <t>h/ha</t>
  </si>
  <si>
    <t>Grande</t>
  </si>
  <si>
    <t>Potencia tractor escogido</t>
  </si>
  <si>
    <t>Eficiencia</t>
  </si>
  <si>
    <t>Muy grande</t>
  </si>
  <si>
    <t>Costes horarios tractor auxiliar  (€/h)</t>
  </si>
  <si>
    <t>Capacidad trabajo real</t>
  </si>
  <si>
    <t>Precio adquis.</t>
  </si>
  <si>
    <t>€/kW</t>
  </si>
  <si>
    <t>ha/h</t>
  </si>
  <si>
    <t>Consumo combustible</t>
  </si>
  <si>
    <t>€</t>
  </si>
  <si>
    <t>h/año</t>
  </si>
  <si>
    <t>€/h s/comb.</t>
  </si>
  <si>
    <t>Carga</t>
  </si>
  <si>
    <t>Factor (L/h-kW)</t>
  </si>
  <si>
    <t>Amortización</t>
  </si>
  <si>
    <t>horas</t>
  </si>
  <si>
    <t>Nivel de carga del tractor</t>
  </si>
  <si>
    <t>%</t>
  </si>
  <si>
    <t>años</t>
  </si>
  <si>
    <t>Potencia tractor necesaria</t>
  </si>
  <si>
    <t>Tasa interés</t>
  </si>
  <si>
    <t>Seguros</t>
  </si>
  <si>
    <t>Tipo de tractor escogido</t>
  </si>
  <si>
    <t>Resguardo</t>
  </si>
  <si>
    <t>Mant.-Reparac</t>
  </si>
  <si>
    <t>€/L</t>
  </si>
  <si>
    <t>Cons.carga media</t>
  </si>
  <si>
    <t>L/h-kW</t>
  </si>
  <si>
    <t>COSTES DE UTILIZACIÓN</t>
  </si>
  <si>
    <t>Consumo de combustible</t>
  </si>
  <si>
    <t>L/h</t>
  </si>
  <si>
    <t>L/ha</t>
  </si>
  <si>
    <t>Consumo de aceite</t>
  </si>
  <si>
    <t>Coste gasóleo</t>
  </si>
  <si>
    <t>Coste combustible</t>
  </si>
  <si>
    <t>€/h</t>
  </si>
  <si>
    <t>€/ha</t>
  </si>
  <si>
    <t>Utilización apero (h/año)</t>
  </si>
  <si>
    <t>COSTES DE POSESIÓN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</si>
  <si>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</si>
  <si>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</si>
  <si>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</si>
  <si>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</si>
  <si>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</si>
  <si>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</si>
  <si>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</si>
  <si>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</si>
  <si>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</si>
  <si>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</si>
  <si>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</si>
  <si>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 xml:space="preserve"> +combustible</t>
  </si>
  <si>
    <t>Utilización anual</t>
  </si>
  <si>
    <t>€/h s/comb</t>
  </si>
  <si>
    <t>Baja (500 h/año)</t>
  </si>
  <si>
    <t>Alta (1.000 h/año)</t>
  </si>
  <si>
    <t>Tractor + Apero</t>
  </si>
  <si>
    <t>ha/año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</si>
  <si>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</si>
  <si>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</si>
  <si>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</si>
  <si>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</si>
  <si>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Anchura de trabajo: Se calcula a partir de los valores anteriores</t>
  </si>
  <si>
    <t>-          Potencia del tractor escogido: Es la potencia del tractor seleccionado por el usuario en función de los resultados obtenidos.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</si>
  <si>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</si>
  <si>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</si>
  <si>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</si>
  <si>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</si>
  <si>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</si>
  <si>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</si>
  <si>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</si>
  <si>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Potencia min. aconsejada</t>
  </si>
  <si>
    <t>desc.</t>
  </si>
  <si>
    <t>Precio adquisición (total)</t>
  </si>
  <si>
    <t>-          Número de líneas: 6</t>
  </si>
  <si>
    <t>-          Separación entre líneas: 0,5 m</t>
  </si>
  <si>
    <t>-          Velocidad de trabajo: Es un valor tomado de las velocidades recomendadas de trabajo; se puede modificar con el cursor</t>
  </si>
  <si>
    <t>-          Nivel de carga del tractor: Bajo, medio o alto (se recomienda poner un nivel alto para esta operación)</t>
  </si>
  <si>
    <t>-          Horas de trabajo anuales: Se han estimado dos rangos diferentes de utilización del apero al año, baja (200 h/año) y alta (400 h/año)</t>
  </si>
  <si>
    <t>-          Eficiencia de la operación: Baja, media o alta. Conviene modificarla en función de la producción.</t>
  </si>
  <si>
    <t xml:space="preserve">Recolección de remolacha </t>
  </si>
  <si>
    <t>Remolque autocargador arrastrado (tolva 10 t)</t>
  </si>
  <si>
    <t xml:space="preserve">-          Mantenimiento y reparaciones: 15 €/ha </t>
  </si>
  <si>
    <t xml:space="preserve">-          Potencia necesaria: 80 kW </t>
  </si>
  <si>
    <t>-          Precio de adquisición: Estimado en 50.000 €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</si>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</sst>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0"/>
      <name val="Arial"/>
      <family val="2"/>
    </font>
    <font>
      <b/>
      <sz val="11"/>
      <color indexed="4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6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7" fontId="7" fillId="33" borderId="0" xfId="51" applyNumberFormat="1" applyFont="1" applyFill="1" applyBorder="1" applyAlignment="1" applyProtection="1">
      <alignment horizontal="center"/>
      <protection hidden="1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>
      <alignment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16" fillId="34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13" fillId="0" borderId="1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3" fillId="0" borderId="15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center"/>
    </xf>
    <xf numFmtId="0" fontId="7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0" borderId="15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 hidden="1"/>
    </xf>
    <xf numFmtId="165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5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65" fontId="7" fillId="0" borderId="15" xfId="0" applyNumberFormat="1" applyFont="1" applyFill="1" applyBorder="1" applyAlignment="1" applyProtection="1">
      <alignment horizontal="center"/>
      <protection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center"/>
      <protection hidden="1"/>
    </xf>
    <xf numFmtId="2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3" fillId="3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left"/>
    </xf>
    <xf numFmtId="164" fontId="11" fillId="33" borderId="16" xfId="0" applyNumberFormat="1" applyFont="1" applyFill="1" applyBorder="1" applyAlignment="1" applyProtection="1">
      <alignment horizontal="center"/>
      <protection hidden="1"/>
    </xf>
    <xf numFmtId="0" fontId="17" fillId="33" borderId="17" xfId="0" applyFont="1" applyFill="1" applyBorder="1" applyAlignment="1">
      <alignment horizontal="center"/>
    </xf>
    <xf numFmtId="165" fontId="7" fillId="34" borderId="14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13" fillId="0" borderId="15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164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8" xfId="0" applyFont="1" applyFill="1" applyBorder="1" applyAlignment="1">
      <alignment horizontal="center"/>
    </xf>
    <xf numFmtId="2" fontId="7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2" fillId="0" borderId="15" xfId="0" applyFont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17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2" fontId="11" fillId="34" borderId="16" xfId="0" applyNumberFormat="1" applyFont="1" applyFill="1" applyBorder="1" applyAlignment="1">
      <alignment horizontal="center"/>
    </xf>
    <xf numFmtId="0" fontId="17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left"/>
    </xf>
    <xf numFmtId="0" fontId="19" fillId="37" borderId="15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0" fontId="19" fillId="37" borderId="21" xfId="0" applyFont="1" applyFill="1" applyBorder="1" applyAlignment="1">
      <alignment horizontal="center"/>
    </xf>
    <xf numFmtId="0" fontId="19" fillId="37" borderId="23" xfId="0" applyFont="1" applyFill="1" applyBorder="1" applyAlignment="1">
      <alignment horizontal="center"/>
    </xf>
    <xf numFmtId="2" fontId="19" fillId="37" borderId="21" xfId="0" applyNumberFormat="1" applyFont="1" applyFill="1" applyBorder="1" applyAlignment="1" applyProtection="1">
      <alignment horizontal="center" vertical="center"/>
      <protection hidden="1"/>
    </xf>
    <xf numFmtId="2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9.emf" /><Relationship Id="rId9" Type="http://schemas.openxmlformats.org/officeDocument/2006/relationships/image" Target="../media/image2.emf" /><Relationship Id="rId10" Type="http://schemas.openxmlformats.org/officeDocument/2006/relationships/image" Target="../media/image6.emf" /><Relationship Id="rId11" Type="http://schemas.openxmlformats.org/officeDocument/2006/relationships/image" Target="../media/image12.emf" /><Relationship Id="rId12" Type="http://schemas.openxmlformats.org/officeDocument/2006/relationships/image" Target="../media/image16.emf" /><Relationship Id="rId13" Type="http://schemas.openxmlformats.org/officeDocument/2006/relationships/image" Target="../media/image13.emf" /><Relationship Id="rId14" Type="http://schemas.openxmlformats.org/officeDocument/2006/relationships/image" Target="../media/image15.emf" /><Relationship Id="rId15" Type="http://schemas.openxmlformats.org/officeDocument/2006/relationships/image" Target="../media/image5.emf" /><Relationship Id="rId1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19050</xdr:rowOff>
    </xdr:from>
    <xdr:to>
      <xdr:col>7</xdr:col>
      <xdr:colOff>276225</xdr:colOff>
      <xdr:row>13</xdr:row>
      <xdr:rowOff>0</xdr:rowOff>
    </xdr:to>
    <xdr:pic>
      <xdr:nvPicPr>
        <xdr:cNvPr id="2" name="Option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066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9525</xdr:rowOff>
    </xdr:to>
    <xdr:pic>
      <xdr:nvPicPr>
        <xdr:cNvPr id="3" name="Option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2383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19050</xdr:rowOff>
    </xdr:from>
    <xdr:to>
      <xdr:col>7</xdr:col>
      <xdr:colOff>276225</xdr:colOff>
      <xdr:row>15</xdr:row>
      <xdr:rowOff>0</xdr:rowOff>
    </xdr:to>
    <xdr:pic>
      <xdr:nvPicPr>
        <xdr:cNvPr id="4" name="Option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409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47625</xdr:rowOff>
    </xdr:from>
    <xdr:to>
      <xdr:col>7</xdr:col>
      <xdr:colOff>276225</xdr:colOff>
      <xdr:row>19</xdr:row>
      <xdr:rowOff>0</xdr:rowOff>
    </xdr:to>
    <xdr:pic>
      <xdr:nvPicPr>
        <xdr:cNvPr id="5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31623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276225</xdr:colOff>
      <xdr:row>19</xdr:row>
      <xdr:rowOff>133350</xdr:rowOff>
    </xdr:to>
    <xdr:pic>
      <xdr:nvPicPr>
        <xdr:cNvPr id="6" name="OptionButton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32861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20</xdr:row>
      <xdr:rowOff>38100</xdr:rowOff>
    </xdr:from>
    <xdr:to>
      <xdr:col>7</xdr:col>
      <xdr:colOff>276225</xdr:colOff>
      <xdr:row>20</xdr:row>
      <xdr:rowOff>152400</xdr:rowOff>
    </xdr:to>
    <xdr:pic>
      <xdr:nvPicPr>
        <xdr:cNvPr id="7" name="OptionButton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34956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133350</xdr:rowOff>
    </xdr:from>
    <xdr:to>
      <xdr:col>7</xdr:col>
      <xdr:colOff>285750</xdr:colOff>
      <xdr:row>24</xdr:row>
      <xdr:rowOff>133350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4105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24</xdr:row>
      <xdr:rowOff>152400</xdr:rowOff>
    </xdr:from>
    <xdr:to>
      <xdr:col>7</xdr:col>
      <xdr:colOff>285750</xdr:colOff>
      <xdr:row>26</xdr:row>
      <xdr:rowOff>0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4295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26</xdr:row>
      <xdr:rowOff>19050</xdr:rowOff>
    </xdr:from>
    <xdr:to>
      <xdr:col>7</xdr:col>
      <xdr:colOff>285750</xdr:colOff>
      <xdr:row>27</xdr:row>
      <xdr:rowOff>0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4495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27</xdr:row>
      <xdr:rowOff>19050</xdr:rowOff>
    </xdr:from>
    <xdr:to>
      <xdr:col>7</xdr:col>
      <xdr:colOff>285750</xdr:colOff>
      <xdr:row>28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1950" y="46672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55</xdr:row>
      <xdr:rowOff>9525</xdr:rowOff>
    </xdr:from>
    <xdr:to>
      <xdr:col>1</xdr:col>
      <xdr:colOff>257175</xdr:colOff>
      <xdr:row>56</xdr:row>
      <xdr:rowOff>0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95726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56</xdr:row>
      <xdr:rowOff>9525</xdr:rowOff>
    </xdr:from>
    <xdr:to>
      <xdr:col>1</xdr:col>
      <xdr:colOff>257175</xdr:colOff>
      <xdr:row>56</xdr:row>
      <xdr:rowOff>123825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9734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9525</xdr:rowOff>
    </xdr:from>
    <xdr:to>
      <xdr:col>7</xdr:col>
      <xdr:colOff>238125</xdr:colOff>
      <xdr:row>41</xdr:row>
      <xdr:rowOff>0</xdr:rowOff>
    </xdr:to>
    <xdr:pic>
      <xdr:nvPicPr>
        <xdr:cNvPr id="14" name="OptionButton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24325" y="6905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19050</xdr:rowOff>
    </xdr:from>
    <xdr:to>
      <xdr:col>7</xdr:col>
      <xdr:colOff>238125</xdr:colOff>
      <xdr:row>42</xdr:row>
      <xdr:rowOff>0</xdr:rowOff>
    </xdr:to>
    <xdr:pic>
      <xdr:nvPicPr>
        <xdr:cNvPr id="15" name="Option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24325" y="70866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14</xdr:row>
      <xdr:rowOff>38100</xdr:rowOff>
    </xdr:from>
    <xdr:to>
      <xdr:col>3</xdr:col>
      <xdr:colOff>104775</xdr:colOff>
      <xdr:row>15</xdr:row>
      <xdr:rowOff>38100</xdr:rowOff>
    </xdr:to>
    <xdr:pic>
      <xdr:nvPicPr>
        <xdr:cNvPr id="16" name="SpinButton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9725" y="24288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6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AD69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8515625" style="9" customWidth="1"/>
    <col min="2" max="2" width="5.7109375" style="9" customWidth="1"/>
    <col min="3" max="3" width="21.140625" style="9" customWidth="1"/>
    <col min="4" max="4" width="11.421875" style="10" customWidth="1"/>
    <col min="5" max="5" width="6.57421875" style="10" customWidth="1"/>
    <col min="6" max="6" width="7.28125" style="9" customWidth="1"/>
    <col min="7" max="7" width="5.421875" style="11" customWidth="1"/>
    <col min="8" max="8" width="5.57421875" style="9" customWidth="1"/>
    <col min="9" max="9" width="11.140625" style="9" customWidth="1"/>
    <col min="10" max="10" width="19.28125" style="9" customWidth="1"/>
    <col min="11" max="12" width="5.7109375" style="9" customWidth="1"/>
    <col min="13" max="13" width="18.28125" style="9" hidden="1" customWidth="1"/>
    <col min="14" max="14" width="9.7109375" style="9" hidden="1" customWidth="1"/>
    <col min="15" max="15" width="9.8515625" style="9" hidden="1" customWidth="1"/>
    <col min="16" max="16" width="10.421875" style="9" hidden="1" customWidth="1"/>
    <col min="17" max="17" width="7.140625" style="9" hidden="1" customWidth="1"/>
    <col min="18" max="18" width="10.421875" style="9" hidden="1" customWidth="1"/>
    <col min="19" max="25" width="7.140625" style="9" hidden="1" customWidth="1"/>
    <col min="26" max="28" width="0" style="9" hidden="1" customWidth="1"/>
    <col min="29" max="29" width="0" style="12" hidden="1" customWidth="1"/>
    <col min="30" max="38" width="0" style="9" hidden="1" customWidth="1"/>
    <col min="39" max="16384" width="11.57421875" style="9" customWidth="1"/>
  </cols>
  <sheetData>
    <row r="1" ht="14.25"/>
    <row r="2" ht="9" customHeight="1"/>
    <row r="3" ht="14.25"/>
    <row r="4" ht="14.25"/>
    <row r="5" ht="14.25"/>
    <row r="6" ht="14.25"/>
    <row r="7" ht="14.25"/>
    <row r="8" spans="1:11" ht="14.2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</row>
    <row r="9" spans="1:14" ht="12.75" customHeight="1">
      <c r="A9" s="18"/>
      <c r="B9" s="19"/>
      <c r="C9" s="20" t="s">
        <v>0</v>
      </c>
      <c r="D9" s="21" t="s">
        <v>110</v>
      </c>
      <c r="E9" s="22"/>
      <c r="F9" s="23"/>
      <c r="G9" s="23"/>
      <c r="H9" s="24"/>
      <c r="I9" s="19"/>
      <c r="J9" s="19"/>
      <c r="K9" s="25"/>
      <c r="M9" s="176" t="s">
        <v>1</v>
      </c>
      <c r="N9" s="177"/>
    </row>
    <row r="10" spans="1:13" ht="12.75" customHeight="1">
      <c r="A10" s="18"/>
      <c r="B10" s="19"/>
      <c r="C10" s="20" t="s">
        <v>2</v>
      </c>
      <c r="D10" s="26" t="s">
        <v>111</v>
      </c>
      <c r="E10" s="27"/>
      <c r="F10" s="27"/>
      <c r="G10" s="28"/>
      <c r="H10" s="19"/>
      <c r="I10" s="19"/>
      <c r="J10" s="19"/>
      <c r="K10" s="29"/>
      <c r="M10" s="30"/>
    </row>
    <row r="11" spans="1:13" ht="13.5">
      <c r="A11" s="18"/>
      <c r="B11" s="19"/>
      <c r="C11" s="19"/>
      <c r="D11" s="27"/>
      <c r="E11" s="27"/>
      <c r="F11" s="27"/>
      <c r="G11" s="28"/>
      <c r="H11" s="19"/>
      <c r="I11" s="19"/>
      <c r="J11" s="19"/>
      <c r="K11" s="29"/>
      <c r="M11" s="30"/>
    </row>
    <row r="12" spans="1:30" ht="13.5">
      <c r="A12" s="18"/>
      <c r="B12" s="220" t="s">
        <v>3</v>
      </c>
      <c r="C12" s="221"/>
      <c r="D12" s="31">
        <v>6</v>
      </c>
      <c r="E12" s="32" t="s">
        <v>4</v>
      </c>
      <c r="F12" s="33"/>
      <c r="G12" s="19"/>
      <c r="H12" s="24"/>
      <c r="I12" s="203" t="s">
        <v>5</v>
      </c>
      <c r="J12" s="204"/>
      <c r="K12" s="34"/>
      <c r="M12" s="30"/>
      <c r="AD12" s="35"/>
    </row>
    <row r="13" spans="1:18" ht="13.5">
      <c r="A13" s="18"/>
      <c r="B13" s="208" t="s">
        <v>6</v>
      </c>
      <c r="C13" s="209"/>
      <c r="D13" s="38">
        <v>0.5</v>
      </c>
      <c r="E13" s="39" t="s">
        <v>7</v>
      </c>
      <c r="F13" s="40"/>
      <c r="G13" s="19"/>
      <c r="H13" s="24"/>
      <c r="I13" s="41" t="s">
        <v>8</v>
      </c>
      <c r="J13" s="42">
        <v>0.6</v>
      </c>
      <c r="K13" s="34"/>
      <c r="M13" s="187"/>
      <c r="N13" s="43"/>
      <c r="O13" s="183"/>
      <c r="P13" s="183"/>
      <c r="Q13" s="30"/>
      <c r="R13" s="30"/>
    </row>
    <row r="14" spans="1:29" ht="13.5">
      <c r="A14" s="18"/>
      <c r="B14" s="208" t="s">
        <v>9</v>
      </c>
      <c r="C14" s="209"/>
      <c r="D14" s="44">
        <f>D12*D13</f>
        <v>3</v>
      </c>
      <c r="E14" s="39" t="s">
        <v>7</v>
      </c>
      <c r="F14" s="40"/>
      <c r="G14" s="19"/>
      <c r="H14" s="24"/>
      <c r="I14" s="41" t="s">
        <v>10</v>
      </c>
      <c r="J14" s="42">
        <v>0.7</v>
      </c>
      <c r="K14" s="34"/>
      <c r="M14" s="187"/>
      <c r="N14" s="45"/>
      <c r="O14" s="184"/>
      <c r="P14" s="184"/>
      <c r="Q14" s="47"/>
      <c r="R14" s="46"/>
      <c r="AC14" s="12" t="b">
        <v>0</v>
      </c>
    </row>
    <row r="15" spans="1:29" ht="15">
      <c r="A15" s="18"/>
      <c r="B15" s="216" t="s">
        <v>11</v>
      </c>
      <c r="C15" s="217"/>
      <c r="D15" s="48">
        <f>+F15/4</f>
        <v>5</v>
      </c>
      <c r="E15" s="39" t="s">
        <v>12</v>
      </c>
      <c r="F15" s="49">
        <v>20</v>
      </c>
      <c r="G15" s="19"/>
      <c r="H15" s="24"/>
      <c r="I15" s="41" t="s">
        <v>13</v>
      </c>
      <c r="J15" s="42">
        <v>0.8</v>
      </c>
      <c r="K15" s="34"/>
      <c r="M15" s="185" t="s">
        <v>17</v>
      </c>
      <c r="N15" s="186"/>
      <c r="AC15" s="12" t="b">
        <v>1</v>
      </c>
    </row>
    <row r="16" spans="1:30" ht="15">
      <c r="A16" s="18"/>
      <c r="B16" s="50"/>
      <c r="C16" s="51"/>
      <c r="D16" s="52"/>
      <c r="E16" s="39"/>
      <c r="F16" s="40"/>
      <c r="G16" s="19"/>
      <c r="H16" s="24"/>
      <c r="I16" s="19"/>
      <c r="J16" s="19"/>
      <c r="K16" s="25"/>
      <c r="M16" s="53"/>
      <c r="N16" s="53" t="s">
        <v>19</v>
      </c>
      <c r="AC16" s="12" t="b">
        <v>0</v>
      </c>
      <c r="AD16" s="35"/>
    </row>
    <row r="17" spans="1:29" ht="13.5">
      <c r="A17" s="18"/>
      <c r="B17" s="36"/>
      <c r="C17" s="37"/>
      <c r="D17" s="54"/>
      <c r="E17" s="39"/>
      <c r="F17" s="55"/>
      <c r="G17" s="19"/>
      <c r="H17" s="24"/>
      <c r="I17" s="19"/>
      <c r="J17" s="19"/>
      <c r="K17" s="34"/>
      <c r="L17" s="30"/>
      <c r="M17" s="53" t="s">
        <v>21</v>
      </c>
      <c r="N17" s="56"/>
      <c r="O17" s="30"/>
      <c r="Q17" s="57"/>
      <c r="R17" s="57"/>
      <c r="S17" s="57"/>
      <c r="AC17" s="12" t="b">
        <v>0</v>
      </c>
    </row>
    <row r="18" spans="1:19" ht="13.5">
      <c r="A18" s="18"/>
      <c r="B18" s="36" t="s">
        <v>101</v>
      </c>
      <c r="C18" s="37"/>
      <c r="D18" s="52">
        <v>80</v>
      </c>
      <c r="E18" s="39" t="s">
        <v>20</v>
      </c>
      <c r="F18" s="40"/>
      <c r="G18" s="19"/>
      <c r="H18" s="24"/>
      <c r="I18" s="203" t="s">
        <v>14</v>
      </c>
      <c r="J18" s="204"/>
      <c r="K18" s="34"/>
      <c r="L18" s="30"/>
      <c r="M18" s="53" t="s">
        <v>24</v>
      </c>
      <c r="N18" s="56"/>
      <c r="O18" s="30"/>
      <c r="P18" s="30"/>
      <c r="Q18" s="57"/>
      <c r="R18" s="57"/>
      <c r="S18" s="57"/>
    </row>
    <row r="19" spans="1:16" ht="13.5">
      <c r="A19" s="18"/>
      <c r="B19" s="58"/>
      <c r="C19" s="59"/>
      <c r="D19" s="52">
        <f>D18*1.36</f>
        <v>108.80000000000001</v>
      </c>
      <c r="E19" s="39" t="s">
        <v>22</v>
      </c>
      <c r="F19" s="40"/>
      <c r="G19" s="19"/>
      <c r="H19" s="24"/>
      <c r="I19" s="41" t="s">
        <v>15</v>
      </c>
      <c r="J19" s="42">
        <v>25</v>
      </c>
      <c r="K19" s="60" t="b">
        <v>0</v>
      </c>
      <c r="L19" s="30"/>
      <c r="M19" s="30"/>
      <c r="N19" s="57"/>
      <c r="O19" s="57"/>
      <c r="P19" s="57"/>
    </row>
    <row r="20" spans="1:29" ht="13.5">
      <c r="A20" s="18"/>
      <c r="B20" s="50"/>
      <c r="C20" s="51"/>
      <c r="D20" s="52"/>
      <c r="E20" s="39"/>
      <c r="F20" s="40"/>
      <c r="G20" s="19"/>
      <c r="H20" s="24"/>
      <c r="I20" s="41" t="s">
        <v>16</v>
      </c>
      <c r="J20" s="42">
        <v>50</v>
      </c>
      <c r="K20" s="60" t="b">
        <v>0</v>
      </c>
      <c r="M20" s="178" t="s">
        <v>27</v>
      </c>
      <c r="N20" s="179"/>
      <c r="O20" s="180"/>
      <c r="P20" s="61"/>
      <c r="Q20" s="61"/>
      <c r="R20" s="61"/>
      <c r="AC20" s="12" t="b">
        <v>0</v>
      </c>
    </row>
    <row r="21" spans="1:29" ht="13.5">
      <c r="A21" s="18"/>
      <c r="B21" s="208" t="s">
        <v>28</v>
      </c>
      <c r="C21" s="209"/>
      <c r="D21" s="62">
        <f>10/(D15*D14)</f>
        <v>0.6666666666666666</v>
      </c>
      <c r="E21" s="39" t="s">
        <v>29</v>
      </c>
      <c r="F21" s="40"/>
      <c r="G21" s="19"/>
      <c r="H21" s="24"/>
      <c r="I21" s="41" t="s">
        <v>18</v>
      </c>
      <c r="J21" s="42">
        <v>75</v>
      </c>
      <c r="K21" s="63" t="b">
        <v>1</v>
      </c>
      <c r="L21" s="30"/>
      <c r="M21" s="181" t="s">
        <v>31</v>
      </c>
      <c r="N21" s="42">
        <f>D30</f>
        <v>150</v>
      </c>
      <c r="O21" s="41" t="s">
        <v>22</v>
      </c>
      <c r="P21" s="61"/>
      <c r="Q21" s="61"/>
      <c r="R21" s="61"/>
      <c r="AC21" s="12" t="b">
        <v>0</v>
      </c>
    </row>
    <row r="22" spans="1:29" ht="13.5">
      <c r="A22" s="18"/>
      <c r="B22" s="208" t="s">
        <v>32</v>
      </c>
      <c r="C22" s="209"/>
      <c r="D22" s="64">
        <f>IF(AC14=TRUE,J13,IF(AC15=TRUE,J14,IF(AC16=TRUE,J15)))</f>
        <v>0.7</v>
      </c>
      <c r="E22" s="65"/>
      <c r="F22" s="40"/>
      <c r="G22" s="19"/>
      <c r="H22" s="24"/>
      <c r="I22" s="19"/>
      <c r="J22" s="19"/>
      <c r="K22" s="34"/>
      <c r="L22" s="30"/>
      <c r="M22" s="182"/>
      <c r="N22" s="66">
        <f>N21/1.36</f>
        <v>110.29411764705881</v>
      </c>
      <c r="O22" s="41" t="s">
        <v>20</v>
      </c>
      <c r="P22" s="67"/>
      <c r="Q22" s="224" t="s">
        <v>34</v>
      </c>
      <c r="R22" s="225"/>
      <c r="AC22" s="12" t="b">
        <v>1</v>
      </c>
    </row>
    <row r="23" spans="1:29" ht="13.5">
      <c r="A23" s="18"/>
      <c r="B23" s="206" t="s">
        <v>35</v>
      </c>
      <c r="C23" s="207"/>
      <c r="D23" s="70">
        <f>D21/D22</f>
        <v>0.9523809523809524</v>
      </c>
      <c r="E23" s="71" t="s">
        <v>29</v>
      </c>
      <c r="F23" s="40"/>
      <c r="G23" s="19"/>
      <c r="H23" s="24"/>
      <c r="I23" s="19"/>
      <c r="J23" s="19"/>
      <c r="K23" s="34"/>
      <c r="L23" s="30"/>
      <c r="M23" s="190" t="s">
        <v>36</v>
      </c>
      <c r="N23" s="72">
        <f>+I56</f>
        <v>560</v>
      </c>
      <c r="O23" s="53" t="s">
        <v>37</v>
      </c>
      <c r="P23" s="61"/>
      <c r="Q23" s="226"/>
      <c r="R23" s="227"/>
      <c r="S23" s="73"/>
      <c r="T23" s="73"/>
      <c r="AC23" s="12" t="b">
        <v>0</v>
      </c>
    </row>
    <row r="24" spans="1:20" ht="13.5">
      <c r="A24" s="18"/>
      <c r="B24" s="74"/>
      <c r="C24" s="75"/>
      <c r="D24" s="70">
        <f>1/D23</f>
        <v>1.05</v>
      </c>
      <c r="E24" s="71" t="s">
        <v>38</v>
      </c>
      <c r="F24" s="40"/>
      <c r="G24" s="19"/>
      <c r="H24" s="24"/>
      <c r="I24" s="203" t="s">
        <v>23</v>
      </c>
      <c r="J24" s="204"/>
      <c r="K24" s="34"/>
      <c r="L24" s="30"/>
      <c r="M24" s="191"/>
      <c r="N24" s="76">
        <f>N22*N23</f>
        <v>61764.70588235294</v>
      </c>
      <c r="O24" s="53" t="s">
        <v>40</v>
      </c>
      <c r="P24" s="61"/>
      <c r="Q24" s="66" t="s">
        <v>41</v>
      </c>
      <c r="R24" s="77" t="s">
        <v>42</v>
      </c>
      <c r="S24" s="78"/>
      <c r="T24" s="78"/>
    </row>
    <row r="25" spans="1:27" ht="13.5">
      <c r="A25" s="18"/>
      <c r="B25" s="74"/>
      <c r="C25" s="79"/>
      <c r="D25" s="64"/>
      <c r="E25" s="65"/>
      <c r="F25" s="40"/>
      <c r="G25" s="19"/>
      <c r="H25" s="24"/>
      <c r="I25" s="80" t="s">
        <v>25</v>
      </c>
      <c r="J25" s="42">
        <v>90</v>
      </c>
      <c r="K25" s="34"/>
      <c r="L25" s="30"/>
      <c r="M25" s="190" t="s">
        <v>45</v>
      </c>
      <c r="N25" s="81">
        <v>12000</v>
      </c>
      <c r="O25" s="53" t="s">
        <v>46</v>
      </c>
      <c r="P25" s="61"/>
      <c r="Q25" s="76">
        <v>500</v>
      </c>
      <c r="R25" s="66">
        <f>$N$24/$N$25+$N$24/($N$26*Q25)+($N$24*$N$27*0.6)/(Q25*100)+($N$24*(($N$28+$N$29)/(Q25*100)))+$N$22*$N$31*$N$30</f>
        <v>18.708823529411763</v>
      </c>
      <c r="S25" s="82"/>
      <c r="T25" s="82"/>
      <c r="U25" s="83"/>
      <c r="V25" s="83"/>
      <c r="W25" s="83"/>
      <c r="X25" s="83"/>
      <c r="Y25" s="83"/>
      <c r="Z25" s="83"/>
      <c r="AA25" s="83"/>
    </row>
    <row r="26" spans="1:27" ht="12.75" customHeight="1">
      <c r="A26" s="18"/>
      <c r="B26" s="208" t="s">
        <v>47</v>
      </c>
      <c r="C26" s="209"/>
      <c r="D26" s="64">
        <f>IF(K19=TRUE,J19,IF(K20=TRUE,J20,IF(K21=TRUE,J21)))</f>
        <v>75</v>
      </c>
      <c r="E26" s="39" t="s">
        <v>48</v>
      </c>
      <c r="F26" s="40"/>
      <c r="G26" s="19"/>
      <c r="H26" s="19"/>
      <c r="I26" s="41" t="s">
        <v>26</v>
      </c>
      <c r="J26" s="42">
        <v>120</v>
      </c>
      <c r="K26" s="25"/>
      <c r="L26" s="30"/>
      <c r="M26" s="191"/>
      <c r="N26" s="84">
        <v>20</v>
      </c>
      <c r="O26" s="53" t="s">
        <v>49</v>
      </c>
      <c r="P26" s="61"/>
      <c r="Q26" s="76">
        <v>1000</v>
      </c>
      <c r="R26" s="66">
        <f>$N$24/$N$25+$N$24/($N$26*Q26)+($N$24*$N$27*0.6)/(Q26*100)+($N$24*(($N$28+$N$29)/(Q26*100)))+$N$22*$N$31*$N$30</f>
        <v>13.58235294117647</v>
      </c>
      <c r="S26" s="30"/>
      <c r="T26" s="30"/>
      <c r="U26" s="83"/>
      <c r="V26" s="83"/>
      <c r="W26" s="83"/>
      <c r="X26" s="83"/>
      <c r="Y26" s="83"/>
      <c r="Z26" s="83"/>
      <c r="AA26" s="83"/>
    </row>
    <row r="27" spans="1:27" ht="13.5">
      <c r="A27" s="18"/>
      <c r="B27" s="208" t="s">
        <v>50</v>
      </c>
      <c r="C27" s="209"/>
      <c r="D27" s="52">
        <f>D19*100/D26</f>
        <v>145.0666666666667</v>
      </c>
      <c r="E27" s="39" t="s">
        <v>22</v>
      </c>
      <c r="F27" s="40"/>
      <c r="G27" s="19"/>
      <c r="H27" s="19"/>
      <c r="I27" s="41" t="s">
        <v>30</v>
      </c>
      <c r="J27" s="42">
        <v>150</v>
      </c>
      <c r="K27" s="34"/>
      <c r="L27" s="30"/>
      <c r="M27" s="85" t="s">
        <v>51</v>
      </c>
      <c r="N27" s="86">
        <f>+D48</f>
        <v>5</v>
      </c>
      <c r="O27" s="53" t="s">
        <v>48</v>
      </c>
      <c r="P27" s="61"/>
      <c r="Q27" s="61"/>
      <c r="R27" s="61"/>
      <c r="S27" s="82"/>
      <c r="T27" s="82"/>
      <c r="U27" s="57"/>
      <c r="V27" s="57"/>
      <c r="W27" s="57"/>
      <c r="X27" s="57"/>
      <c r="Y27" s="57"/>
      <c r="Z27" s="57"/>
      <c r="AA27" s="57"/>
    </row>
    <row r="28" spans="1:27" ht="13.5">
      <c r="A28" s="18"/>
      <c r="B28" s="50"/>
      <c r="C28" s="51"/>
      <c r="D28" s="64"/>
      <c r="E28" s="65"/>
      <c r="F28" s="40"/>
      <c r="G28" s="19"/>
      <c r="H28" s="19"/>
      <c r="I28" s="41" t="s">
        <v>33</v>
      </c>
      <c r="J28" s="42">
        <v>180</v>
      </c>
      <c r="K28" s="34"/>
      <c r="L28" s="30"/>
      <c r="M28" s="85" t="s">
        <v>52</v>
      </c>
      <c r="N28" s="86">
        <v>0.2</v>
      </c>
      <c r="O28" s="53" t="s">
        <v>48</v>
      </c>
      <c r="P28" s="61"/>
      <c r="Q28" s="61"/>
      <c r="R28" s="61"/>
      <c r="S28" s="82"/>
      <c r="T28" s="82"/>
      <c r="U28" s="57"/>
      <c r="V28" s="57"/>
      <c r="W28" s="57"/>
      <c r="X28" s="57"/>
      <c r="Y28" s="57"/>
      <c r="Z28" s="57"/>
      <c r="AA28" s="57"/>
    </row>
    <row r="29" spans="1:27" ht="13.5">
      <c r="A29" s="18"/>
      <c r="B29" s="208" t="s">
        <v>53</v>
      </c>
      <c r="C29" s="209"/>
      <c r="D29" s="64" t="str">
        <f>IF(AC20=TRUE,"Pequeño",IF(AC21=TRUE,"Mediano",IF(AC22=TRUE,"Grande",IF(AC23=TRUE,"Muy Grande",))))</f>
        <v>Grande</v>
      </c>
      <c r="E29" s="39"/>
      <c r="F29" s="40"/>
      <c r="G29" s="19"/>
      <c r="H29" s="19"/>
      <c r="I29" s="19"/>
      <c r="J29" s="19"/>
      <c r="K29" s="34"/>
      <c r="M29" s="85" t="s">
        <v>54</v>
      </c>
      <c r="N29" s="86">
        <v>0.1</v>
      </c>
      <c r="O29" s="53" t="s">
        <v>48</v>
      </c>
      <c r="P29" s="61"/>
      <c r="Q29" s="61"/>
      <c r="R29" s="61"/>
      <c r="S29" s="82"/>
      <c r="T29" s="87"/>
      <c r="U29" s="57"/>
      <c r="V29" s="57"/>
      <c r="W29" s="57"/>
      <c r="X29" s="57"/>
      <c r="Y29" s="57"/>
      <c r="Z29" s="57"/>
      <c r="AA29" s="57"/>
    </row>
    <row r="30" spans="1:27" ht="13.5">
      <c r="A30" s="18"/>
      <c r="B30" s="222" t="s">
        <v>31</v>
      </c>
      <c r="C30" s="223"/>
      <c r="D30" s="88">
        <f>IF(AC20=TRUE,J25,IF(AC21=TRUE,J26,IF(AC22=TRUE,J27,IF(AC23=TRUE,J28,""))))</f>
        <v>150</v>
      </c>
      <c r="E30" s="89" t="s">
        <v>22</v>
      </c>
      <c r="F30" s="90"/>
      <c r="G30" s="19"/>
      <c r="H30" s="19"/>
      <c r="I30" s="19"/>
      <c r="J30" s="19"/>
      <c r="K30" s="34"/>
      <c r="L30" s="30"/>
      <c r="M30" s="91" t="s">
        <v>55</v>
      </c>
      <c r="N30" s="86">
        <v>0.2</v>
      </c>
      <c r="O30" s="92" t="s">
        <v>56</v>
      </c>
      <c r="P30" s="61"/>
      <c r="Q30" s="61"/>
      <c r="R30" s="61"/>
      <c r="S30" s="82"/>
      <c r="T30" s="82"/>
      <c r="U30" s="57"/>
      <c r="V30" s="57"/>
      <c r="W30" s="57"/>
      <c r="X30" s="57"/>
      <c r="Y30" s="57"/>
      <c r="Z30" s="57"/>
      <c r="AA30" s="57"/>
    </row>
    <row r="31" spans="1:20" ht="12.75" customHeight="1">
      <c r="A31" s="18"/>
      <c r="B31" s="19"/>
      <c r="C31" s="19"/>
      <c r="D31" s="93"/>
      <c r="E31" s="22"/>
      <c r="F31" s="19"/>
      <c r="G31" s="19"/>
      <c r="H31" s="19"/>
      <c r="I31" s="19"/>
      <c r="J31" s="19"/>
      <c r="K31" s="25"/>
      <c r="L31" s="30"/>
      <c r="M31" s="91" t="s">
        <v>57</v>
      </c>
      <c r="N31" s="94">
        <v>0.15</v>
      </c>
      <c r="O31" s="95" t="s">
        <v>58</v>
      </c>
      <c r="P31" s="61"/>
      <c r="Q31" s="61"/>
      <c r="R31" s="61"/>
      <c r="T31" s="83"/>
    </row>
    <row r="32" spans="1:20" ht="13.5">
      <c r="A32" s="18"/>
      <c r="B32" s="210" t="s">
        <v>59</v>
      </c>
      <c r="C32" s="211"/>
      <c r="D32" s="96"/>
      <c r="E32" s="97"/>
      <c r="F32" s="19"/>
      <c r="G32" s="19"/>
      <c r="H32" s="19"/>
      <c r="I32" s="203" t="s">
        <v>39</v>
      </c>
      <c r="J32" s="204"/>
      <c r="K32" s="34"/>
      <c r="L32" s="30"/>
      <c r="T32" s="83"/>
    </row>
    <row r="33" spans="1:12" ht="13.5">
      <c r="A33" s="18"/>
      <c r="B33" s="208" t="s">
        <v>60</v>
      </c>
      <c r="C33" s="209"/>
      <c r="D33" s="62">
        <f>IF(D26=J19,J34*D30/1.36,IF(D26=J20,J35*D30/1.36,IF(D26=J21,J36*D30/1.36)))</f>
        <v>22.830882352941174</v>
      </c>
      <c r="E33" s="98" t="s">
        <v>61</v>
      </c>
      <c r="F33" s="19"/>
      <c r="G33" s="19"/>
      <c r="H33" s="19"/>
      <c r="I33" s="41" t="s">
        <v>43</v>
      </c>
      <c r="J33" s="42" t="s">
        <v>44</v>
      </c>
      <c r="K33" s="34"/>
      <c r="L33" s="30"/>
    </row>
    <row r="34" spans="1:18" ht="14.25" customHeight="1">
      <c r="A34" s="18"/>
      <c r="B34" s="50"/>
      <c r="C34" s="51"/>
      <c r="D34" s="62">
        <f>D33*D23</f>
        <v>21.743697478991596</v>
      </c>
      <c r="E34" s="98" t="s">
        <v>62</v>
      </c>
      <c r="F34" s="19"/>
      <c r="G34" s="19"/>
      <c r="H34" s="19"/>
      <c r="I34" s="41" t="s">
        <v>8</v>
      </c>
      <c r="J34" s="99">
        <v>0.1</v>
      </c>
      <c r="K34" s="34"/>
      <c r="M34" s="192"/>
      <c r="N34" s="192"/>
      <c r="O34" s="192"/>
      <c r="P34" s="192"/>
      <c r="Q34" s="228"/>
      <c r="R34" s="192"/>
    </row>
    <row r="35" spans="1:25" ht="13.5">
      <c r="A35" s="18"/>
      <c r="B35" s="208" t="s">
        <v>63</v>
      </c>
      <c r="C35" s="209"/>
      <c r="D35" s="100">
        <f>D33*0.1/100</f>
        <v>0.022830882352941173</v>
      </c>
      <c r="E35" s="98" t="s">
        <v>61</v>
      </c>
      <c r="F35" s="19"/>
      <c r="G35" s="19"/>
      <c r="H35" s="19"/>
      <c r="I35" s="41" t="s">
        <v>10</v>
      </c>
      <c r="J35" s="99">
        <v>0.15</v>
      </c>
      <c r="K35" s="34"/>
      <c r="M35" s="192"/>
      <c r="N35" s="192"/>
      <c r="O35" s="192"/>
      <c r="P35" s="192"/>
      <c r="Q35" s="228"/>
      <c r="R35" s="192"/>
      <c r="U35" s="73"/>
      <c r="V35" s="73"/>
      <c r="W35" s="73"/>
      <c r="X35" s="73"/>
      <c r="Y35" s="101"/>
    </row>
    <row r="36" spans="1:24" ht="13.5">
      <c r="A36" s="18"/>
      <c r="B36" s="74"/>
      <c r="C36" s="79"/>
      <c r="D36" s="100">
        <f>D34*0.1/100</f>
        <v>0.021743697478991596</v>
      </c>
      <c r="E36" s="98" t="s">
        <v>62</v>
      </c>
      <c r="F36" s="19"/>
      <c r="G36" s="19"/>
      <c r="H36" s="19"/>
      <c r="I36" s="41" t="s">
        <v>13</v>
      </c>
      <c r="J36" s="99">
        <v>0.207</v>
      </c>
      <c r="K36" s="34"/>
      <c r="L36" s="30"/>
      <c r="M36" s="102"/>
      <c r="N36" s="103"/>
      <c r="O36" s="103"/>
      <c r="P36" s="46"/>
      <c r="Q36" s="104"/>
      <c r="R36" s="104"/>
      <c r="U36" s="78"/>
      <c r="V36" s="78"/>
      <c r="W36" s="78"/>
      <c r="X36" s="78"/>
    </row>
    <row r="37" spans="1:24" ht="14.25" thickBot="1">
      <c r="A37" s="18"/>
      <c r="B37" s="214" t="s">
        <v>64</v>
      </c>
      <c r="C37" s="215"/>
      <c r="D37" s="105">
        <v>1</v>
      </c>
      <c r="E37" s="106" t="s">
        <v>56</v>
      </c>
      <c r="F37" s="19"/>
      <c r="G37" s="19"/>
      <c r="H37" s="19"/>
      <c r="I37" s="107"/>
      <c r="J37" s="19"/>
      <c r="K37" s="25"/>
      <c r="L37" s="30"/>
      <c r="M37" s="108"/>
      <c r="N37" s="47"/>
      <c r="O37" s="47"/>
      <c r="P37" s="109"/>
      <c r="Q37" s="110"/>
      <c r="R37" s="110"/>
      <c r="U37" s="82"/>
      <c r="V37" s="82"/>
      <c r="W37" s="82"/>
      <c r="X37" s="82"/>
    </row>
    <row r="38" spans="1:24" ht="14.25" thickTop="1">
      <c r="A38" s="18"/>
      <c r="B38" s="68" t="s">
        <v>65</v>
      </c>
      <c r="C38" s="69"/>
      <c r="D38" s="111">
        <f>D37*D33</f>
        <v>22.830882352941174</v>
      </c>
      <c r="E38" s="112" t="s">
        <v>66</v>
      </c>
      <c r="F38" s="19"/>
      <c r="G38" s="19"/>
      <c r="H38" s="19"/>
      <c r="I38" s="107"/>
      <c r="J38" s="19"/>
      <c r="K38" s="34"/>
      <c r="L38" s="30"/>
      <c r="M38" s="108"/>
      <c r="N38" s="47"/>
      <c r="O38" s="47"/>
      <c r="P38" s="109"/>
      <c r="Q38" s="110"/>
      <c r="R38" s="110"/>
      <c r="U38" s="30"/>
      <c r="V38" s="30"/>
      <c r="W38" s="30"/>
      <c r="X38" s="30"/>
    </row>
    <row r="39" spans="1:24" ht="13.5">
      <c r="A39" s="18"/>
      <c r="B39" s="113"/>
      <c r="C39" s="114"/>
      <c r="D39" s="115">
        <f>D34*D37</f>
        <v>21.743697478991596</v>
      </c>
      <c r="E39" s="116" t="s">
        <v>67</v>
      </c>
      <c r="F39" s="19"/>
      <c r="G39" s="19"/>
      <c r="H39" s="19"/>
      <c r="I39" s="19"/>
      <c r="J39" s="19"/>
      <c r="K39" s="34"/>
      <c r="L39" s="30"/>
      <c r="M39" s="102"/>
      <c r="N39" s="103"/>
      <c r="O39" s="103"/>
      <c r="P39" s="46"/>
      <c r="Q39" s="104"/>
      <c r="R39" s="104"/>
      <c r="U39" s="82"/>
      <c r="V39" s="82"/>
      <c r="W39" s="82"/>
      <c r="X39" s="82"/>
    </row>
    <row r="40" spans="1:24" ht="13.5">
      <c r="A40" s="18"/>
      <c r="B40" s="19"/>
      <c r="C40" s="19"/>
      <c r="D40" s="93"/>
      <c r="E40" s="22"/>
      <c r="F40" s="19"/>
      <c r="G40" s="19"/>
      <c r="H40" s="19"/>
      <c r="I40" s="231" t="s">
        <v>68</v>
      </c>
      <c r="J40" s="231"/>
      <c r="K40" s="117"/>
      <c r="M40" s="108"/>
      <c r="N40" s="47"/>
      <c r="O40" s="47"/>
      <c r="P40" s="109"/>
      <c r="Q40" s="110"/>
      <c r="R40" s="110"/>
      <c r="U40" s="82"/>
      <c r="V40" s="82"/>
      <c r="W40" s="82"/>
      <c r="X40" s="82"/>
    </row>
    <row r="41" spans="1:24" ht="13.5">
      <c r="A41" s="18"/>
      <c r="B41" s="210" t="s">
        <v>69</v>
      </c>
      <c r="C41" s="211"/>
      <c r="D41" s="96"/>
      <c r="E41" s="118"/>
      <c r="F41" s="119"/>
      <c r="G41" s="120"/>
      <c r="H41" s="19"/>
      <c r="I41" s="41" t="s">
        <v>8</v>
      </c>
      <c r="J41" s="86">
        <v>200</v>
      </c>
      <c r="K41" s="117"/>
      <c r="M41" s="108"/>
      <c r="N41" s="47"/>
      <c r="O41" s="47"/>
      <c r="P41" s="109"/>
      <c r="Q41" s="110"/>
      <c r="R41" s="110"/>
      <c r="U41" s="82"/>
      <c r="V41" s="82"/>
      <c r="W41" s="82"/>
      <c r="X41" s="82"/>
    </row>
    <row r="42" spans="1:24" ht="13.5">
      <c r="A42" s="18"/>
      <c r="B42" s="208" t="s">
        <v>70</v>
      </c>
      <c r="C42" s="209"/>
      <c r="D42" s="64">
        <f>IF(AC43=TRUE,J41,J42)</f>
        <v>400</v>
      </c>
      <c r="E42" s="39" t="s">
        <v>41</v>
      </c>
      <c r="F42" s="79"/>
      <c r="G42" s="40"/>
      <c r="H42" s="19"/>
      <c r="I42" s="41" t="s">
        <v>13</v>
      </c>
      <c r="J42" s="121">
        <v>400</v>
      </c>
      <c r="K42" s="117"/>
      <c r="M42" s="102"/>
      <c r="N42" s="103"/>
      <c r="O42" s="103"/>
      <c r="P42" s="46"/>
      <c r="Q42" s="104"/>
      <c r="R42" s="104"/>
      <c r="U42" s="82"/>
      <c r="V42" s="82"/>
      <c r="W42" s="82"/>
      <c r="X42" s="82"/>
    </row>
    <row r="43" spans="1:29" ht="13.5">
      <c r="A43" s="18"/>
      <c r="B43" s="50"/>
      <c r="C43" s="51"/>
      <c r="D43" s="64"/>
      <c r="E43" s="122" t="s">
        <v>102</v>
      </c>
      <c r="F43" s="123" t="e">
        <f>+#REF!</f>
        <v>#REF!</v>
      </c>
      <c r="G43" s="55" t="s">
        <v>40</v>
      </c>
      <c r="H43" s="19"/>
      <c r="I43" s="19"/>
      <c r="J43" s="19"/>
      <c r="K43" s="25"/>
      <c r="M43" s="108"/>
      <c r="N43" s="47"/>
      <c r="O43" s="47"/>
      <c r="P43" s="109"/>
      <c r="Q43" s="110"/>
      <c r="R43" s="110"/>
      <c r="U43" s="83"/>
      <c r="AC43" s="12" t="b">
        <v>0</v>
      </c>
    </row>
    <row r="44" spans="1:29" ht="13.5">
      <c r="A44" s="18"/>
      <c r="B44" s="208" t="s">
        <v>103</v>
      </c>
      <c r="C44" s="209"/>
      <c r="D44" s="124">
        <v>55000</v>
      </c>
      <c r="E44" s="39" t="s">
        <v>40</v>
      </c>
      <c r="F44" s="123" t="e">
        <f>+#REF!</f>
        <v>#REF!</v>
      </c>
      <c r="G44" s="55" t="s">
        <v>40</v>
      </c>
      <c r="H44" s="125"/>
      <c r="I44" s="126"/>
      <c r="J44" s="19"/>
      <c r="K44" s="34"/>
      <c r="M44" s="108"/>
      <c r="N44" s="47"/>
      <c r="O44" s="47"/>
      <c r="P44" s="109"/>
      <c r="Q44" s="110"/>
      <c r="R44" s="110"/>
      <c r="U44" s="83"/>
      <c r="AC44" s="12" t="b">
        <v>1</v>
      </c>
    </row>
    <row r="45" spans="1:18" ht="13.5">
      <c r="A45" s="18"/>
      <c r="B45" s="74"/>
      <c r="C45" s="79"/>
      <c r="D45" s="127"/>
      <c r="E45" s="65"/>
      <c r="F45" s="79"/>
      <c r="G45" s="40"/>
      <c r="H45" s="19"/>
      <c r="I45" s="19"/>
      <c r="J45" s="19"/>
      <c r="K45" s="34"/>
      <c r="M45" s="102"/>
      <c r="N45" s="103"/>
      <c r="O45" s="103"/>
      <c r="P45" s="46"/>
      <c r="Q45" s="104"/>
      <c r="R45" s="104"/>
    </row>
    <row r="46" spans="1:18" ht="13.5">
      <c r="A46" s="18"/>
      <c r="B46" s="212" t="s">
        <v>71</v>
      </c>
      <c r="C46" s="213"/>
      <c r="D46" s="124">
        <v>2000</v>
      </c>
      <c r="E46" s="39" t="s">
        <v>72</v>
      </c>
      <c r="F46" s="62">
        <f>+$D$44/$D46</f>
        <v>27.5</v>
      </c>
      <c r="G46" s="129" t="s">
        <v>66</v>
      </c>
      <c r="H46" s="19"/>
      <c r="I46" s="19"/>
      <c r="J46" s="19"/>
      <c r="K46" s="130"/>
      <c r="M46" s="108"/>
      <c r="N46" s="47"/>
      <c r="O46" s="47"/>
      <c r="P46" s="109"/>
      <c r="Q46" s="110"/>
      <c r="R46" s="110"/>
    </row>
    <row r="47" spans="1:18" ht="13.5">
      <c r="A47" s="18"/>
      <c r="B47" s="212" t="s">
        <v>73</v>
      </c>
      <c r="C47" s="213"/>
      <c r="D47" s="131">
        <v>20</v>
      </c>
      <c r="E47" s="39" t="s">
        <v>49</v>
      </c>
      <c r="F47" s="62">
        <f>+$D$44/($D47*D42)</f>
        <v>6.875</v>
      </c>
      <c r="G47" s="129" t="s">
        <v>66</v>
      </c>
      <c r="H47" s="19"/>
      <c r="I47" s="229" t="str">
        <f>CONCATENATE("Vida útil para ",D42," h/año")</f>
        <v>Vida útil para 400 h/año</v>
      </c>
      <c r="J47" s="230"/>
      <c r="K47" s="25"/>
      <c r="M47" s="108"/>
      <c r="N47" s="47"/>
      <c r="O47" s="47"/>
      <c r="P47" s="109"/>
      <c r="Q47" s="110"/>
      <c r="R47" s="110"/>
    </row>
    <row r="48" spans="1:11" ht="13.5">
      <c r="A48" s="18"/>
      <c r="B48" s="212" t="s">
        <v>74</v>
      </c>
      <c r="C48" s="213"/>
      <c r="D48" s="131">
        <v>5</v>
      </c>
      <c r="E48" s="39" t="s">
        <v>48</v>
      </c>
      <c r="F48" s="62">
        <f>+$D$44*0.006*$D48/D42</f>
        <v>4.125</v>
      </c>
      <c r="G48" s="129" t="s">
        <v>66</v>
      </c>
      <c r="H48" s="19"/>
      <c r="I48" s="132" t="s">
        <v>72</v>
      </c>
      <c r="J48" s="133">
        <f>+$D$44/($F$46+$F$47)</f>
        <v>1600</v>
      </c>
      <c r="K48" s="25"/>
    </row>
    <row r="49" spans="1:11" ht="13.5">
      <c r="A49" s="18"/>
      <c r="B49" s="212" t="s">
        <v>75</v>
      </c>
      <c r="C49" s="213"/>
      <c r="D49" s="131">
        <v>0.2</v>
      </c>
      <c r="E49" s="39" t="s">
        <v>76</v>
      </c>
      <c r="F49" s="62">
        <f>+$D$44*$D49/(100*D42)</f>
        <v>0.275</v>
      </c>
      <c r="G49" s="129" t="s">
        <v>66</v>
      </c>
      <c r="H49" s="19"/>
      <c r="I49" s="132" t="s">
        <v>49</v>
      </c>
      <c r="J49" s="134">
        <f>+$D$44/($D$42*($F$46+$F$47))</f>
        <v>4</v>
      </c>
      <c r="K49" s="135"/>
    </row>
    <row r="50" spans="1:11" ht="13.5">
      <c r="A50" s="18"/>
      <c r="B50" s="212" t="s">
        <v>77</v>
      </c>
      <c r="C50" s="213"/>
      <c r="D50" s="131">
        <v>0.1</v>
      </c>
      <c r="E50" s="39" t="s">
        <v>76</v>
      </c>
      <c r="F50" s="62">
        <f>+$D$44*$D50/(D42*100)</f>
        <v>0.1375</v>
      </c>
      <c r="G50" s="129" t="s">
        <v>66</v>
      </c>
      <c r="H50" s="19"/>
      <c r="I50" s="19"/>
      <c r="J50" s="19"/>
      <c r="K50" s="136"/>
    </row>
    <row r="51" spans="1:11" ht="14.25" customHeight="1" thickBot="1">
      <c r="A51" s="18"/>
      <c r="B51" s="218" t="s">
        <v>78</v>
      </c>
      <c r="C51" s="219"/>
      <c r="D51" s="137">
        <v>15</v>
      </c>
      <c r="E51" s="138" t="s">
        <v>67</v>
      </c>
      <c r="F51" s="139">
        <f>+D51/D23</f>
        <v>15.749999999999998</v>
      </c>
      <c r="G51" s="140" t="s">
        <v>66</v>
      </c>
      <c r="H51" s="125"/>
      <c r="I51" s="126"/>
      <c r="J51" s="19"/>
      <c r="K51" s="141"/>
    </row>
    <row r="52" spans="1:11" ht="14.25" thickTop="1">
      <c r="A52" s="18"/>
      <c r="B52" s="74"/>
      <c r="C52" s="128" t="s">
        <v>79</v>
      </c>
      <c r="D52" s="65"/>
      <c r="E52" s="65"/>
      <c r="F52" s="62">
        <f>SUM(F46:F51)</f>
        <v>54.6625</v>
      </c>
      <c r="G52" s="129" t="s">
        <v>66</v>
      </c>
      <c r="H52" s="22"/>
      <c r="I52" s="22"/>
      <c r="J52" s="19"/>
      <c r="K52" s="25"/>
    </row>
    <row r="53" spans="1:11" ht="13.5">
      <c r="A53" s="18"/>
      <c r="B53" s="142"/>
      <c r="C53" s="143"/>
      <c r="D53" s="144"/>
      <c r="E53" s="144"/>
      <c r="F53" s="145">
        <f>+F52*D23</f>
        <v>52.05952380952382</v>
      </c>
      <c r="G53" s="146" t="s">
        <v>67</v>
      </c>
      <c r="H53" s="19"/>
      <c r="I53" s="19"/>
      <c r="J53" s="19"/>
      <c r="K53" s="25"/>
    </row>
    <row r="54" spans="1:11" ht="13.5">
      <c r="A54" s="18"/>
      <c r="B54" s="197" t="s">
        <v>80</v>
      </c>
      <c r="C54" s="197"/>
      <c r="D54" s="197"/>
      <c r="E54" s="202" t="s">
        <v>81</v>
      </c>
      <c r="F54" s="202"/>
      <c r="G54" s="147"/>
      <c r="H54" s="125"/>
      <c r="I54" s="125"/>
      <c r="J54" s="19"/>
      <c r="K54" s="25"/>
    </row>
    <row r="55" spans="1:11" ht="19.5" customHeight="1">
      <c r="A55" s="18"/>
      <c r="B55" s="193" t="s">
        <v>82</v>
      </c>
      <c r="C55" s="194"/>
      <c r="D55" s="148" t="s">
        <v>83</v>
      </c>
      <c r="E55" s="149" t="s">
        <v>66</v>
      </c>
      <c r="F55" s="149" t="s">
        <v>67</v>
      </c>
      <c r="G55" s="147"/>
      <c r="H55" s="125"/>
      <c r="I55" s="205" t="s">
        <v>90</v>
      </c>
      <c r="J55" s="205"/>
      <c r="K55" s="25"/>
    </row>
    <row r="56" spans="1:11" ht="12.75" customHeight="1">
      <c r="A56" s="18"/>
      <c r="B56" s="150"/>
      <c r="C56" s="150" t="s">
        <v>84</v>
      </c>
      <c r="D56" s="151">
        <f>R25+D38</f>
        <v>41.53970588235293</v>
      </c>
      <c r="E56" s="152">
        <f>IF(AC63=TRUE,D56+D38,D56*0)</f>
        <v>0</v>
      </c>
      <c r="F56" s="153">
        <f>E56*$D$23</f>
        <v>0</v>
      </c>
      <c r="G56" s="154">
        <f>IF(AC63=TRUE,F56,F56*0)</f>
        <v>0</v>
      </c>
      <c r="H56" s="125"/>
      <c r="I56" s="155">
        <v>560</v>
      </c>
      <c r="J56" s="80" t="s">
        <v>91</v>
      </c>
      <c r="K56" s="25"/>
    </row>
    <row r="57" spans="1:11" ht="13.5">
      <c r="A57" s="18"/>
      <c r="B57" s="150"/>
      <c r="C57" s="150" t="s">
        <v>85</v>
      </c>
      <c r="D57" s="151">
        <f>R26+D38</f>
        <v>36.41323529411764</v>
      </c>
      <c r="E57" s="153">
        <f>IF(AC64=TRUE,D57+D38,D57*0)</f>
        <v>59.244117647058815</v>
      </c>
      <c r="F57" s="153">
        <f>E57*$D$23</f>
        <v>56.422969187675065</v>
      </c>
      <c r="G57" s="154">
        <f>IF(AC64=TRUE,F57,F57*0)</f>
        <v>56.422969187675065</v>
      </c>
      <c r="H57" s="125"/>
      <c r="I57" s="125"/>
      <c r="J57" s="19"/>
      <c r="K57" s="25"/>
    </row>
    <row r="58" spans="1:11" ht="13.5">
      <c r="A58" s="18"/>
      <c r="B58" s="19"/>
      <c r="C58" s="156"/>
      <c r="D58" s="22"/>
      <c r="E58" s="20"/>
      <c r="F58" s="157"/>
      <c r="G58" s="147"/>
      <c r="H58" s="125"/>
      <c r="I58" s="125"/>
      <c r="J58" s="19"/>
      <c r="K58" s="25"/>
    </row>
    <row r="59" spans="1:11" ht="13.5">
      <c r="A59" s="18"/>
      <c r="B59" s="195" t="s">
        <v>86</v>
      </c>
      <c r="C59" s="195"/>
      <c r="D59" s="195"/>
      <c r="E59" s="196" t="s">
        <v>79</v>
      </c>
      <c r="F59" s="196"/>
      <c r="G59" s="158"/>
      <c r="H59" s="19"/>
      <c r="I59" s="19"/>
      <c r="J59" s="19"/>
      <c r="K59" s="25"/>
    </row>
    <row r="60" spans="1:11" ht="13.5">
      <c r="A60" s="18"/>
      <c r="B60" s="188" t="s">
        <v>82</v>
      </c>
      <c r="C60" s="189"/>
      <c r="D60" s="159" t="s">
        <v>87</v>
      </c>
      <c r="E60" s="198" t="s">
        <v>67</v>
      </c>
      <c r="F60" s="199"/>
      <c r="G60" s="24"/>
      <c r="H60" s="19"/>
      <c r="I60" s="19"/>
      <c r="J60" s="19"/>
      <c r="K60" s="25"/>
    </row>
    <row r="61" spans="1:11" ht="13.5">
      <c r="A61" s="18"/>
      <c r="B61" s="41"/>
      <c r="C61" s="41" t="str">
        <f>IF(D42=J41,"Baja","Alta")</f>
        <v>Alta</v>
      </c>
      <c r="D61" s="160">
        <f>D42*D24</f>
        <v>420</v>
      </c>
      <c r="E61" s="200">
        <f>+F53+$G$56+$G$57</f>
        <v>108.48249299719888</v>
      </c>
      <c r="F61" s="201" t="e">
        <f>$D$21*($D$42/$D$44)+$D$42/($D$45*D61*$D$21)+(($D$42*0.006*$D$46)/(D61*$D$21))+$D$42*($D$47+$D$48)/(100*D61*$D$21)+($D$49/$D$21)+$D$67</f>
        <v>#DIV/0!</v>
      </c>
      <c r="G61" s="24"/>
      <c r="H61" s="19"/>
      <c r="I61" s="19"/>
      <c r="J61" s="19"/>
      <c r="K61" s="25"/>
    </row>
    <row r="62" spans="1:11" ht="13.5">
      <c r="A62" s="18"/>
      <c r="B62" s="19"/>
      <c r="C62" s="19"/>
      <c r="D62" s="93"/>
      <c r="E62" s="93"/>
      <c r="F62" s="161"/>
      <c r="G62" s="24"/>
      <c r="H62" s="19"/>
      <c r="I62" s="19"/>
      <c r="J62" s="19"/>
      <c r="K62" s="25"/>
    </row>
    <row r="63" spans="1:29" ht="13.5">
      <c r="A63" s="18"/>
      <c r="B63" s="19"/>
      <c r="C63" s="162"/>
      <c r="D63" s="22"/>
      <c r="E63" s="22"/>
      <c r="F63" s="163"/>
      <c r="G63" s="158"/>
      <c r="H63" s="19"/>
      <c r="I63" s="19"/>
      <c r="J63" s="19"/>
      <c r="K63" s="29"/>
      <c r="AC63" s="12" t="b">
        <v>0</v>
      </c>
    </row>
    <row r="64" spans="1:29" ht="13.5">
      <c r="A64" s="164"/>
      <c r="B64" s="165"/>
      <c r="C64" s="165"/>
      <c r="D64" s="166"/>
      <c r="E64" s="166"/>
      <c r="F64" s="167"/>
      <c r="G64" s="168"/>
      <c r="H64" s="165"/>
      <c r="I64" s="165"/>
      <c r="J64" s="165"/>
      <c r="K64" s="169"/>
      <c r="AC64" s="12" t="b">
        <v>1</v>
      </c>
    </row>
    <row r="65" spans="1:11" ht="12.75" customHeight="1">
      <c r="A65" s="61"/>
      <c r="B65" s="61"/>
      <c r="C65" s="61"/>
      <c r="D65" s="170"/>
      <c r="E65" s="170"/>
      <c r="F65" s="61"/>
      <c r="H65" s="61"/>
      <c r="I65" s="61"/>
      <c r="J65" s="61"/>
      <c r="K65" s="171"/>
    </row>
    <row r="66" spans="1:11" ht="13.5">
      <c r="A66" s="61"/>
      <c r="B66" s="61"/>
      <c r="C66" s="61"/>
      <c r="D66" s="170"/>
      <c r="E66" s="170"/>
      <c r="F66" s="61"/>
      <c r="H66" s="61"/>
      <c r="I66" s="61"/>
      <c r="J66" s="61"/>
      <c r="K66" s="61"/>
    </row>
    <row r="67" spans="3:7" ht="13.5">
      <c r="C67" s="172"/>
      <c r="D67" s="170"/>
      <c r="E67" s="173"/>
      <c r="F67" s="174"/>
      <c r="G67" s="175"/>
    </row>
    <row r="68" spans="4:29" ht="13.5">
      <c r="D68" s="170"/>
      <c r="E68" s="173"/>
      <c r="F68" s="174"/>
      <c r="G68" s="175"/>
      <c r="AC68" s="12" t="b">
        <v>1</v>
      </c>
    </row>
    <row r="69" ht="13.5">
      <c r="AC69" s="12" t="b">
        <v>0</v>
      </c>
    </row>
  </sheetData>
  <sheetProtection/>
  <mergeCells count="55">
    <mergeCell ref="Q22:R23"/>
    <mergeCell ref="B47:C47"/>
    <mergeCell ref="Q34:Q35"/>
    <mergeCell ref="R34:R35"/>
    <mergeCell ref="I47:J47"/>
    <mergeCell ref="I40:J40"/>
    <mergeCell ref="N34:N35"/>
    <mergeCell ref="O34:O35"/>
    <mergeCell ref="P34:P35"/>
    <mergeCell ref="B22:C22"/>
    <mergeCell ref="B51:C51"/>
    <mergeCell ref="B12:C12"/>
    <mergeCell ref="B42:C42"/>
    <mergeCell ref="B44:C44"/>
    <mergeCell ref="B46:C46"/>
    <mergeCell ref="B49:C49"/>
    <mergeCell ref="B48:C48"/>
    <mergeCell ref="B30:C30"/>
    <mergeCell ref="B21:C21"/>
    <mergeCell ref="B29:C29"/>
    <mergeCell ref="B37:C37"/>
    <mergeCell ref="I12:J12"/>
    <mergeCell ref="B14:C14"/>
    <mergeCell ref="I24:J24"/>
    <mergeCell ref="B15:C15"/>
    <mergeCell ref="B13:C13"/>
    <mergeCell ref="I18:J18"/>
    <mergeCell ref="B35:C35"/>
    <mergeCell ref="E61:F61"/>
    <mergeCell ref="E54:F54"/>
    <mergeCell ref="I32:J32"/>
    <mergeCell ref="I55:J55"/>
    <mergeCell ref="B23:C23"/>
    <mergeCell ref="B33:C33"/>
    <mergeCell ref="B32:C32"/>
    <mergeCell ref="B26:C26"/>
    <mergeCell ref="B27:C27"/>
    <mergeCell ref="B50:C50"/>
    <mergeCell ref="B60:C60"/>
    <mergeCell ref="M23:M24"/>
    <mergeCell ref="M25:M26"/>
    <mergeCell ref="M34:M35"/>
    <mergeCell ref="B55:C55"/>
    <mergeCell ref="B59:D59"/>
    <mergeCell ref="E59:F59"/>
    <mergeCell ref="B54:D54"/>
    <mergeCell ref="E60:F60"/>
    <mergeCell ref="B41:C41"/>
    <mergeCell ref="M9:N9"/>
    <mergeCell ref="M20:O20"/>
    <mergeCell ref="M21:M22"/>
    <mergeCell ref="O13:P13"/>
    <mergeCell ref="O14:P14"/>
    <mergeCell ref="M15:N15"/>
    <mergeCell ref="M13:M14"/>
  </mergeCells>
  <conditionalFormatting sqref="J19:J21">
    <cfRule type="cellIs" priority="1" dxfId="0" operator="equal" stopIfTrue="1">
      <formula>$D$26</formula>
    </cfRule>
  </conditionalFormatting>
  <conditionalFormatting sqref="J25:J28">
    <cfRule type="cellIs" priority="2" dxfId="0" operator="equal" stopIfTrue="1">
      <formula>$D$30</formula>
    </cfRule>
  </conditionalFormatting>
  <conditionalFormatting sqref="J34">
    <cfRule type="expression" priority="3" dxfId="0" stopIfTrue="1">
      <formula>$D$26=25</formula>
    </cfRule>
  </conditionalFormatting>
  <conditionalFormatting sqref="J35">
    <cfRule type="expression" priority="4" dxfId="0" stopIfTrue="1">
      <formula>$D$26=50</formula>
    </cfRule>
  </conditionalFormatting>
  <conditionalFormatting sqref="J36">
    <cfRule type="expression" priority="5" dxfId="0" stopIfTrue="1">
      <formula>$D$26=75</formula>
    </cfRule>
  </conditionalFormatting>
  <conditionalFormatting sqref="C57">
    <cfRule type="expression" priority="6" dxfId="0" stopIfTrue="1">
      <formula>$G$57&gt;0</formula>
    </cfRule>
  </conditionalFormatting>
  <conditionalFormatting sqref="C56">
    <cfRule type="expression" priority="7" dxfId="0" stopIfTrue="1">
      <formula>$G$56&gt;0</formula>
    </cfRule>
  </conditionalFormatting>
  <conditionalFormatting sqref="J41:J42">
    <cfRule type="cellIs" priority="8" dxfId="0" operator="equal" stopIfTrue="1">
      <formula>$D$42</formula>
    </cfRule>
  </conditionalFormatting>
  <conditionalFormatting sqref="J13:J15">
    <cfRule type="cellIs" priority="9" dxfId="0" operator="equal" stopIfTrue="1">
      <formula>$D$22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6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4"/>
    </row>
    <row r="8" spans="1:15" ht="12.75">
      <c r="A8" s="5" t="s">
        <v>111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88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6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>
      <c r="A12" s="6" t="s">
        <v>105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>
      <c r="A13" s="6" t="s">
        <v>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3.25" customHeight="1">
      <c r="A14" s="6" t="s">
        <v>106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4.75" customHeight="1">
      <c r="A15" s="6" t="s">
        <v>109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" customHeight="1">
      <c r="A16" s="6" t="s">
        <v>107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>
      <c r="A17" s="6" t="s">
        <v>113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6" t="s">
        <v>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 t="s">
        <v>89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5.5" customHeight="1">
      <c r="A22" s="6" t="s">
        <v>108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6" t="s">
        <v>114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94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95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8" t="s">
        <v>115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96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6" t="s">
        <v>112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8.5" customHeight="1">
      <c r="A30" s="6" t="s">
        <v>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5" customHeight="1">
      <c r="A31" s="6" t="s">
        <v>99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2008-09-05T11:37:24Z</cp:lastPrinted>
  <dcterms:created xsi:type="dcterms:W3CDTF">2008-02-01T12:24:04Z</dcterms:created>
  <dcterms:modified xsi:type="dcterms:W3CDTF">2014-06-27T09:00:25Z</dcterms:modified>
  <cp:category/>
  <cp:version/>
  <cp:contentType/>
  <cp:contentStatus/>
</cp:coreProperties>
</file>