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7656" windowHeight="8976" tabRatio="884" activeTab="0"/>
  </bookViews>
  <sheets>
    <sheet name="Semb.patatas" sheetId="1" r:id="rId1"/>
    <sheet name="Metodología" sheetId="2" r:id="rId2"/>
  </sheets>
  <definedNames>
    <definedName name="_xlnm.Print_Area" localSheetId="1">'Metodología'!$A$1:$A$29</definedName>
    <definedName name="_xlnm.Print_Area" localSheetId="0">'Semb.patatas'!$A$1:$K$68</definedName>
  </definedNames>
  <calcPr fullCalcOnLoad="1"/>
</workbook>
</file>

<file path=xl/sharedStrings.xml><?xml version="1.0" encoding="utf-8"?>
<sst xmlns="http://schemas.openxmlformats.org/spreadsheetml/2006/main" count="186" uniqueCount="143">
  <si>
    <t>OPERACIÓN:</t>
  </si>
  <si>
    <t>Anchura apero</t>
  </si>
  <si>
    <t xml:space="preserve">APERO: </t>
  </si>
  <si>
    <t>Baja</t>
  </si>
  <si>
    <t>Media</t>
  </si>
  <si>
    <t>m</t>
  </si>
  <si>
    <t>Alta</t>
  </si>
  <si>
    <t>km/h</t>
  </si>
  <si>
    <t>kg</t>
  </si>
  <si>
    <t>Eficiencia de trabajo</t>
  </si>
  <si>
    <t>h/ha</t>
  </si>
  <si>
    <t>Eficiencia</t>
  </si>
  <si>
    <t>ha/h</t>
  </si>
  <si>
    <t>Nivel de carga de trabajo (%)</t>
  </si>
  <si>
    <t>CV</t>
  </si>
  <si>
    <t>%</t>
  </si>
  <si>
    <t>Potencia tractor necesaria</t>
  </si>
  <si>
    <t>Nivel potencia tractor (CV)</t>
  </si>
  <si>
    <t>Mediano</t>
  </si>
  <si>
    <t>Grande</t>
  </si>
  <si>
    <t>Muy grande</t>
  </si>
  <si>
    <t>Consumo de combustible</t>
  </si>
  <si>
    <t>Consumo combustible</t>
  </si>
  <si>
    <t>Consumo de aceite</t>
  </si>
  <si>
    <t>Carga</t>
  </si>
  <si>
    <t>Horas trabajo anuales</t>
  </si>
  <si>
    <t>h/año</t>
  </si>
  <si>
    <t>Precio adquisición</t>
  </si>
  <si>
    <t>€</t>
  </si>
  <si>
    <t>amort. - desgaste</t>
  </si>
  <si>
    <t>h</t>
  </si>
  <si>
    <t>€/h</t>
  </si>
  <si>
    <t>amort. - obsolescencia</t>
  </si>
  <si>
    <t>años</t>
  </si>
  <si>
    <t>interés</t>
  </si>
  <si>
    <t>seguros</t>
  </si>
  <si>
    <t>% PA</t>
  </si>
  <si>
    <t>resguardo</t>
  </si>
  <si>
    <t>mantenim-reparaciones</t>
  </si>
  <si>
    <t>€/ha</t>
  </si>
  <si>
    <t>Coste total</t>
  </si>
  <si>
    <t>ha/año</t>
  </si>
  <si>
    <t>Tractor auxiliar</t>
  </si>
  <si>
    <t>kW</t>
  </si>
  <si>
    <t>horas</t>
  </si>
  <si>
    <t>€/L</t>
  </si>
  <si>
    <t>€/kW</t>
  </si>
  <si>
    <t>Seguros</t>
  </si>
  <si>
    <t>Resguardo</t>
  </si>
  <si>
    <t>L/h-kW</t>
  </si>
  <si>
    <t>L/h</t>
  </si>
  <si>
    <t>Velocidad de trabajo</t>
  </si>
  <si>
    <t>Potencia de tracción</t>
  </si>
  <si>
    <t>Peso apero (vacío)</t>
  </si>
  <si>
    <t>consumos</t>
  </si>
  <si>
    <t>anchura alta</t>
  </si>
  <si>
    <t>anchura normal</t>
  </si>
  <si>
    <t>RESULTADOS MAPA</t>
  </si>
  <si>
    <t>ud</t>
  </si>
  <si>
    <t>Nivel de carga del tractor</t>
  </si>
  <si>
    <t>Potencia necesaria</t>
  </si>
  <si>
    <t>Pequeño</t>
  </si>
  <si>
    <t>Bajo</t>
  </si>
  <si>
    <t>Medio</t>
  </si>
  <si>
    <t>Alto</t>
  </si>
  <si>
    <t>COSTES DE UTILIZACIÓN</t>
  </si>
  <si>
    <t>COSTES DE POSESIÓN</t>
  </si>
  <si>
    <t>Coste gasóleo</t>
  </si>
  <si>
    <t>L/ha</t>
  </si>
  <si>
    <t>Coste combustible</t>
  </si>
  <si>
    <t>Capacidad trabajo teórica</t>
  </si>
  <si>
    <t>Capacidad trabajo real</t>
  </si>
  <si>
    <t>Nº lineas</t>
  </si>
  <si>
    <t>P(kW)</t>
  </si>
  <si>
    <t>Factor (L/h-kW)</t>
  </si>
  <si>
    <t>F(daN)</t>
  </si>
  <si>
    <t>pot tractor CV</t>
  </si>
  <si>
    <t>nivel carga %</t>
  </si>
  <si>
    <t>pot utilizada</t>
  </si>
  <si>
    <t>v (km/h)</t>
  </si>
  <si>
    <t>Pot. (kW)</t>
  </si>
  <si>
    <t>Anchura (m)</t>
  </si>
  <si>
    <t>Incremento por peso máq.</t>
  </si>
  <si>
    <t>Pot neces (kW/m)</t>
  </si>
  <si>
    <t>Anchura máx</t>
  </si>
  <si>
    <t>Pot. (kW/m)</t>
  </si>
  <si>
    <t>Potencia tracción = Potencia demandada por un cultivador de igual anchura a 15 cm de profundidad</t>
  </si>
  <si>
    <t>-</t>
  </si>
  <si>
    <t>Plantadora de patatas</t>
  </si>
  <si>
    <t>ASAE row crop planter,     no- till (medium soil)</t>
  </si>
  <si>
    <t>Pot a la barra i/rod+desliz</t>
  </si>
  <si>
    <t>P barra i/rod+desliz</t>
  </si>
  <si>
    <t>Número de líneas</t>
  </si>
  <si>
    <t>Separación entre líneas</t>
  </si>
  <si>
    <t>Siembra patatas</t>
  </si>
  <si>
    <t>Tipo de tractor escogido</t>
  </si>
  <si>
    <t>Potencia tractor escogido</t>
  </si>
  <si>
    <t>Utilización anual</t>
  </si>
  <si>
    <t>€/h s/comb</t>
  </si>
  <si>
    <t>Baja (500 h/año)</t>
  </si>
  <si>
    <t>Alta (1.000 h/año)</t>
  </si>
  <si>
    <t>Utilización apero (h/año)</t>
  </si>
  <si>
    <t>AUXILIAR</t>
  </si>
  <si>
    <t>kg/m</t>
  </si>
  <si>
    <t>Hipótesis tractor auxiliar</t>
  </si>
  <si>
    <t>Costes horarios tractor auxiliar  (€/h)</t>
  </si>
  <si>
    <t>Precio adquis.</t>
  </si>
  <si>
    <t>€/h s/comb.</t>
  </si>
  <si>
    <t>Amortización</t>
  </si>
  <si>
    <t>Tasa interés</t>
  </si>
  <si>
    <t>Mant.-Reparac</t>
  </si>
  <si>
    <t>Cons.carga media</t>
  </si>
  <si>
    <t xml:space="preserve"> +combustible</t>
  </si>
  <si>
    <t>TRACTOR + APERO</t>
  </si>
  <si>
    <t>Plantación de patatas</t>
  </si>
  <si>
    <t>Los datos de partida de esta operación son los siguientes:</t>
  </si>
  <si>
    <t>Las hipótesis establecidas para el cálculo de los costes son las siguientes:</t>
  </si>
  <si>
    <t>Utilización anual apero: En función de las horas de trabajo anuales elegidas y de la capacidad de trabajo se obtiene la superficie anual trabajada por el apero en ha/año.</t>
  </si>
  <si>
    <t>4</t>
  </si>
  <si>
    <t>Precio adquisición tractor</t>
  </si>
  <si>
    <t xml:space="preserve"> €/kW de potencia</t>
  </si>
  <si>
    <t>-          Número de líneas: a escoger entre 2 y 4.</t>
  </si>
  <si>
    <t>-          Separación entre líneas: 0,8 m</t>
  </si>
  <si>
    <t>-          Anchura de trabajo del apero: Se genera según los datos escogidos anteriormente.</t>
  </si>
  <si>
    <t>-          Peso del apero: Estimado en 300 kg/m</t>
  </si>
  <si>
    <t>-          Eficiencia de la operación: Baja, media o alta (se recomienda escoger baja para esta operación puesto que es la situación más habitual)</t>
  </si>
  <si>
    <t>-          Nivel de carga del tractor: Bajo, medio o alto (se recomienda poner un nivel medio para esta operación)</t>
  </si>
  <si>
    <t>-          Velocidad de trabajo: Es un valor tomado de las velocidades recomendadas de trabajo.</t>
  </si>
  <si>
    <t>-          Potencia de tracción: Se considera equivalente a la de un cultivador de igual anchura trabajando a 15 cm de profundidad.</t>
  </si>
  <si>
    <t>-          Incremento por peso de la máquina: Se considera que, debido al peso de la máquina y por la resistencia a la que se opone el suelo a los surcadores, la potencia anterior se incrementa en un 100 %.</t>
  </si>
  <si>
    <t>-          Potencia a la barra incluidos rodadura y deslizamiento: Es la potencia necesaria a la barra consideradas unas pérdidas por rodadura y deslizamiento del 25 %.</t>
  </si>
  <si>
    <t>-          Potencia del tractor escogido: Es la potencia del tractor seleccionado por el usuario en función de los resultados obtenidos.</t>
  </si>
  <si>
    <t>-          Horas de trabajo anuales: Se han estimado dos rangos diferentes de utilización del apero al año, baja (100 h/año) y alta (200 h/año)</t>
  </si>
  <si>
    <t>-          Amortización por desgaste: 1.200  h</t>
  </si>
  <si>
    <t>-          Amortización por obsolescencia: 20 años</t>
  </si>
  <si>
    <t>-          Seguros: 0,2 % del precio de adquisición</t>
  </si>
  <si>
    <t>-          Resguardo: 0,1 % del precio de adquisición</t>
  </si>
  <si>
    <t>-          Utilización anual tractor auxiliar: Se han estimado dos rangos diferentes de trabajo, 500 y 1.000 h/año.</t>
  </si>
  <si>
    <t>-          Coste de combustible: 1,00 €/L</t>
  </si>
  <si>
    <t>€/cu.</t>
  </si>
  <si>
    <t>-          Precio de adquisición: Estimado en 2500 € por cuerpo.</t>
  </si>
  <si>
    <t>-          Mantenimiento y reparaciones: 3,50 €/ha</t>
  </si>
  <si>
    <t>-          Interés: 5 %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</si>
</sst>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[$-C0A]dddd\,\ dd&quot; de &quot;mmmm&quot; de &quot;yyyy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0000"/>
    <numFmt numFmtId="172" formatCode="0.0000"/>
    <numFmt numFmtId="173" formatCode="#,##0.0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11"/>
      <name val="Arial"/>
      <family val="2"/>
    </font>
    <font>
      <sz val="11"/>
      <color indexed="9"/>
      <name val="Arial"/>
      <family val="2"/>
    </font>
    <font>
      <b/>
      <sz val="11"/>
      <name val="Arial"/>
      <family val="2"/>
    </font>
    <font>
      <b/>
      <u val="single"/>
      <sz val="11"/>
      <color indexed="9"/>
      <name val="Arial"/>
      <family val="2"/>
    </font>
    <font>
      <sz val="11"/>
      <color indexed="22"/>
      <name val="Arial"/>
      <family val="2"/>
    </font>
    <font>
      <b/>
      <sz val="11"/>
      <color indexed="9"/>
      <name val="Arial"/>
      <family val="2"/>
    </font>
    <font>
      <sz val="11"/>
      <color indexed="42"/>
      <name val="Arial"/>
      <family val="2"/>
    </font>
    <font>
      <b/>
      <sz val="11"/>
      <color indexed="42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20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justify" wrapText="1"/>
    </xf>
    <xf numFmtId="0" fontId="0" fillId="0" borderId="0" xfId="0" applyAlignment="1">
      <alignment horizontal="justify" wrapText="1"/>
    </xf>
    <xf numFmtId="49" fontId="4" fillId="34" borderId="0" xfId="0" applyNumberFormat="1" applyFont="1" applyFill="1" applyAlignment="1">
      <alignment horizontal="left" wrapText="1"/>
    </xf>
    <xf numFmtId="49" fontId="5" fillId="34" borderId="0" xfId="0" applyNumberFormat="1" applyFont="1" applyFill="1" applyAlignment="1">
      <alignment horizontal="left" wrapText="1"/>
    </xf>
    <xf numFmtId="49" fontId="4" fillId="34" borderId="0" xfId="0" applyNumberFormat="1" applyFont="1" applyFill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 locked="0"/>
    </xf>
    <xf numFmtId="0" fontId="6" fillId="34" borderId="10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4" borderId="11" xfId="0" applyFont="1" applyFill="1" applyBorder="1" applyAlignment="1">
      <alignment horizontal="center"/>
    </xf>
    <xf numFmtId="0" fontId="6" fillId="34" borderId="11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34" borderId="0" xfId="0" applyFont="1" applyFill="1" applyBorder="1" applyAlignment="1">
      <alignment vertical="top"/>
    </xf>
    <xf numFmtId="0" fontId="8" fillId="34" borderId="0" xfId="0" applyFont="1" applyFill="1" applyBorder="1" applyAlignment="1">
      <alignment vertical="top" wrapText="1"/>
    </xf>
    <xf numFmtId="0" fontId="8" fillId="34" borderId="0" xfId="0" applyFont="1" applyFill="1" applyBorder="1" applyAlignment="1">
      <alignment horizontal="left" vertical="top" wrapText="1"/>
    </xf>
    <xf numFmtId="0" fontId="10" fillId="34" borderId="14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1" fontId="6" fillId="33" borderId="11" xfId="0" applyNumberFormat="1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0" fontId="8" fillId="33" borderId="14" xfId="0" applyFont="1" applyFill="1" applyBorder="1" applyAlignment="1">
      <alignment horizontal="center"/>
    </xf>
    <xf numFmtId="0" fontId="12" fillId="34" borderId="0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center"/>
    </xf>
    <xf numFmtId="3" fontId="6" fillId="33" borderId="0" xfId="0" applyNumberFormat="1" applyFont="1" applyFill="1" applyBorder="1" applyAlignment="1" applyProtection="1">
      <alignment horizontal="center"/>
      <protection hidden="1"/>
    </xf>
    <xf numFmtId="0" fontId="12" fillId="34" borderId="0" xfId="0" applyFont="1" applyFill="1" applyBorder="1" applyAlignment="1" applyProtection="1">
      <alignment horizontal="center"/>
      <protection locked="0"/>
    </xf>
    <xf numFmtId="0" fontId="13" fillId="34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/>
      <protection locked="0"/>
    </xf>
    <xf numFmtId="0" fontId="6" fillId="33" borderId="13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 applyProtection="1">
      <alignment horizontal="center"/>
      <protection hidden="1"/>
    </xf>
    <xf numFmtId="0" fontId="6" fillId="33" borderId="14" xfId="0" applyFont="1" applyFill="1" applyBorder="1" applyAlignment="1">
      <alignment horizontal="center"/>
    </xf>
    <xf numFmtId="164" fontId="7" fillId="0" borderId="0" xfId="0" applyNumberFormat="1" applyFont="1" applyFill="1" applyBorder="1" applyAlignment="1" applyProtection="1">
      <alignment horizontal="center"/>
      <protection hidden="1"/>
    </xf>
    <xf numFmtId="164" fontId="6" fillId="33" borderId="0" xfId="0" applyNumberFormat="1" applyFont="1" applyFill="1" applyBorder="1" applyAlignment="1" applyProtection="1">
      <alignment horizontal="center"/>
      <protection hidden="1"/>
    </xf>
    <xf numFmtId="1" fontId="6" fillId="33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Border="1" applyAlignment="1">
      <alignment horizontal="center"/>
    </xf>
    <xf numFmtId="0" fontId="6" fillId="0" borderId="16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center"/>
    </xf>
    <xf numFmtId="2" fontId="6" fillId="33" borderId="0" xfId="0" applyNumberFormat="1" applyFont="1" applyFill="1" applyBorder="1" applyAlignment="1" applyProtection="1">
      <alignment horizontal="center"/>
      <protection hidden="1"/>
    </xf>
    <xf numFmtId="2" fontId="15" fillId="33" borderId="0" xfId="0" applyNumberFormat="1" applyFont="1" applyFill="1" applyBorder="1" applyAlignment="1" applyProtection="1">
      <alignment horizontal="center"/>
      <protection hidden="1"/>
    </xf>
    <xf numFmtId="0" fontId="14" fillId="33" borderId="14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 hidden="1"/>
    </xf>
    <xf numFmtId="0" fontId="6" fillId="33" borderId="13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wrapText="1"/>
    </xf>
    <xf numFmtId="0" fontId="6" fillId="33" borderId="0" xfId="0" applyFont="1" applyFill="1" applyBorder="1" applyAlignment="1">
      <alignment/>
    </xf>
    <xf numFmtId="0" fontId="11" fillId="0" borderId="0" xfId="0" applyFont="1" applyFill="1" applyBorder="1" applyAlignment="1" applyProtection="1">
      <alignment horizontal="center" wrapText="1"/>
      <protection locked="0"/>
    </xf>
    <xf numFmtId="165" fontId="6" fillId="0" borderId="16" xfId="0" applyNumberFormat="1" applyFont="1" applyBorder="1" applyAlignment="1" applyProtection="1">
      <alignment horizontal="center"/>
      <protection/>
    </xf>
    <xf numFmtId="0" fontId="6" fillId="33" borderId="15" xfId="0" applyFont="1" applyFill="1" applyBorder="1" applyAlignment="1" applyProtection="1">
      <alignment horizontal="center"/>
      <protection hidden="1"/>
    </xf>
    <xf numFmtId="0" fontId="8" fillId="33" borderId="17" xfId="0" applyFont="1" applyFill="1" applyBorder="1" applyAlignment="1">
      <alignment horizontal="center"/>
    </xf>
    <xf numFmtId="165" fontId="7" fillId="0" borderId="0" xfId="0" applyNumberFormat="1" applyFont="1" applyFill="1" applyBorder="1" applyAlignment="1" applyProtection="1">
      <alignment horizontal="center"/>
      <protection/>
    </xf>
    <xf numFmtId="2" fontId="7" fillId="0" borderId="0" xfId="0" applyNumberFormat="1" applyFont="1" applyFill="1" applyBorder="1" applyAlignment="1">
      <alignment/>
    </xf>
    <xf numFmtId="0" fontId="6" fillId="34" borderId="0" xfId="0" applyFont="1" applyFill="1" applyBorder="1" applyAlignment="1" applyProtection="1">
      <alignment horizontal="center"/>
      <protection hidden="1"/>
    </xf>
    <xf numFmtId="0" fontId="6" fillId="35" borderId="18" xfId="0" applyFont="1" applyFill="1" applyBorder="1" applyAlignment="1" applyProtection="1">
      <alignment horizontal="center"/>
      <protection hidden="1"/>
    </xf>
    <xf numFmtId="0" fontId="6" fillId="35" borderId="19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 applyProtection="1">
      <alignment/>
      <protection locked="0"/>
    </xf>
    <xf numFmtId="2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 applyProtection="1">
      <alignment horizontal="center"/>
      <protection locked="0"/>
    </xf>
    <xf numFmtId="165" fontId="6" fillId="33" borderId="0" xfId="0" applyNumberFormat="1" applyFont="1" applyFill="1" applyBorder="1" applyAlignment="1" applyProtection="1">
      <alignment horizontal="center"/>
      <protection hidden="1"/>
    </xf>
    <xf numFmtId="3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2" fontId="16" fillId="33" borderId="0" xfId="0" applyNumberFormat="1" applyFont="1" applyFill="1" applyBorder="1" applyAlignment="1" applyProtection="1">
      <alignment horizontal="center"/>
      <protection hidden="1" locked="0"/>
    </xf>
    <xf numFmtId="0" fontId="14" fillId="33" borderId="20" xfId="0" applyFont="1" applyFill="1" applyBorder="1" applyAlignment="1">
      <alignment horizontal="left"/>
    </xf>
    <xf numFmtId="0" fontId="14" fillId="33" borderId="21" xfId="0" applyFont="1" applyFill="1" applyBorder="1" applyAlignment="1">
      <alignment horizontal="left"/>
    </xf>
    <xf numFmtId="164" fontId="15" fillId="33" borderId="21" xfId="0" applyNumberFormat="1" applyFont="1" applyFill="1" applyBorder="1" applyAlignment="1" applyProtection="1">
      <alignment horizontal="center"/>
      <protection hidden="1"/>
    </xf>
    <xf numFmtId="0" fontId="14" fillId="33" borderId="22" xfId="0" applyFont="1" applyFill="1" applyBorder="1" applyAlignment="1">
      <alignment horizontal="center"/>
    </xf>
    <xf numFmtId="0" fontId="14" fillId="33" borderId="23" xfId="0" applyFont="1" applyFill="1" applyBorder="1" applyAlignment="1">
      <alignment horizontal="left"/>
    </xf>
    <xf numFmtId="0" fontId="14" fillId="33" borderId="15" xfId="0" applyFont="1" applyFill="1" applyBorder="1" applyAlignment="1">
      <alignment horizontal="left"/>
    </xf>
    <xf numFmtId="164" fontId="15" fillId="33" borderId="15" xfId="0" applyNumberFormat="1" applyFont="1" applyFill="1" applyBorder="1" applyAlignment="1" applyProtection="1">
      <alignment horizontal="center"/>
      <protection hidden="1"/>
    </xf>
    <xf numFmtId="0" fontId="14" fillId="33" borderId="17" xfId="0" applyFont="1" applyFill="1" applyBorder="1" applyAlignment="1">
      <alignment horizontal="center"/>
    </xf>
    <xf numFmtId="0" fontId="6" fillId="35" borderId="11" xfId="0" applyFont="1" applyFill="1" applyBorder="1" applyAlignment="1" applyProtection="1">
      <alignment horizontal="center"/>
      <protection hidden="1"/>
    </xf>
    <xf numFmtId="0" fontId="6" fillId="35" borderId="11" xfId="0" applyFont="1" applyFill="1" applyBorder="1" applyAlignment="1">
      <alignment horizontal="center"/>
    </xf>
    <xf numFmtId="0" fontId="6" fillId="35" borderId="11" xfId="0" applyFont="1" applyFill="1" applyBorder="1" applyAlignment="1">
      <alignment/>
    </xf>
    <xf numFmtId="0" fontId="6" fillId="35" borderId="12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16" fillId="0" borderId="16" xfId="0" applyFont="1" applyBorder="1" applyAlignment="1" applyProtection="1">
      <alignment horizontal="center"/>
      <protection locked="0"/>
    </xf>
    <xf numFmtId="165" fontId="6" fillId="34" borderId="14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6" fillId="33" borderId="11" xfId="0" applyFont="1" applyFill="1" applyBorder="1" applyAlignment="1" applyProtection="1">
      <alignment horizontal="center"/>
      <protection hidden="1"/>
    </xf>
    <xf numFmtId="0" fontId="8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3" fontId="16" fillId="0" borderId="16" xfId="0" applyNumberFormat="1" applyFont="1" applyBorder="1" applyAlignment="1" applyProtection="1">
      <alignment horizontal="center"/>
      <protection locked="0"/>
    </xf>
    <xf numFmtId="165" fontId="7" fillId="0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3" fontId="16" fillId="33" borderId="0" xfId="0" applyNumberFormat="1" applyFont="1" applyFill="1" applyBorder="1" applyAlignment="1" applyProtection="1">
      <alignment horizontal="center"/>
      <protection hidden="1"/>
    </xf>
    <xf numFmtId="0" fontId="6" fillId="33" borderId="14" xfId="0" applyFont="1" applyFill="1" applyBorder="1" applyAlignment="1">
      <alignment/>
    </xf>
    <xf numFmtId="1" fontId="8" fillId="34" borderId="0" xfId="0" applyNumberFormat="1" applyFont="1" applyFill="1" applyBorder="1" applyAlignment="1">
      <alignment/>
    </xf>
    <xf numFmtId="3" fontId="16" fillId="33" borderId="0" xfId="0" applyNumberFormat="1" applyFont="1" applyFill="1" applyBorder="1" applyAlignment="1" applyProtection="1">
      <alignment horizontal="center"/>
      <protection hidden="1" locked="0"/>
    </xf>
    <xf numFmtId="0" fontId="8" fillId="33" borderId="14" xfId="0" applyFont="1" applyFill="1" applyBorder="1" applyAlignment="1">
      <alignment/>
    </xf>
    <xf numFmtId="0" fontId="16" fillId="33" borderId="0" xfId="0" applyFont="1" applyFill="1" applyBorder="1" applyAlignment="1" applyProtection="1">
      <alignment horizontal="center"/>
      <protection hidden="1" locked="0"/>
    </xf>
    <xf numFmtId="3" fontId="6" fillId="34" borderId="14" xfId="0" applyNumberFormat="1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1" fontId="8" fillId="0" borderId="16" xfId="0" applyNumberFormat="1" applyFont="1" applyBorder="1" applyAlignment="1" applyProtection="1">
      <alignment horizontal="center"/>
      <protection hidden="1"/>
    </xf>
    <xf numFmtId="164" fontId="8" fillId="0" borderId="16" xfId="0" applyNumberFormat="1" applyFont="1" applyBorder="1" applyAlignment="1" applyProtection="1">
      <alignment horizontal="center"/>
      <protection hidden="1"/>
    </xf>
    <xf numFmtId="2" fontId="15" fillId="34" borderId="11" xfId="0" applyNumberFormat="1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/>
    </xf>
    <xf numFmtId="2" fontId="16" fillId="33" borderId="24" xfId="0" applyNumberFormat="1" applyFont="1" applyFill="1" applyBorder="1" applyAlignment="1" applyProtection="1">
      <alignment horizontal="center"/>
      <protection hidden="1" locked="0"/>
    </xf>
    <xf numFmtId="0" fontId="8" fillId="33" borderId="24" xfId="0" applyFont="1" applyFill="1" applyBorder="1" applyAlignment="1">
      <alignment horizontal="center"/>
    </xf>
    <xf numFmtId="2" fontId="6" fillId="33" borderId="24" xfId="0" applyNumberFormat="1" applyFont="1" applyFill="1" applyBorder="1" applyAlignment="1" applyProtection="1">
      <alignment horizontal="center"/>
      <protection hidden="1"/>
    </xf>
    <xf numFmtId="0" fontId="8" fillId="33" borderId="25" xfId="0" applyFont="1" applyFill="1" applyBorder="1" applyAlignment="1">
      <alignment/>
    </xf>
    <xf numFmtId="3" fontId="8" fillId="34" borderId="14" xfId="0" applyNumberFormat="1" applyFont="1" applyFill="1" applyBorder="1" applyAlignment="1">
      <alignment horizontal="center"/>
    </xf>
    <xf numFmtId="1" fontId="8" fillId="34" borderId="14" xfId="0" applyNumberFormat="1" applyFont="1" applyFill="1" applyBorder="1" applyAlignment="1">
      <alignment horizontal="center"/>
    </xf>
    <xf numFmtId="0" fontId="6" fillId="33" borderId="23" xfId="0" applyFont="1" applyFill="1" applyBorder="1" applyAlignment="1">
      <alignment/>
    </xf>
    <xf numFmtId="0" fontId="14" fillId="33" borderId="15" xfId="0" applyFont="1" applyFill="1" applyBorder="1" applyAlignment="1">
      <alignment horizontal="right"/>
    </xf>
    <xf numFmtId="0" fontId="6" fillId="33" borderId="15" xfId="0" applyFont="1" applyFill="1" applyBorder="1" applyAlignment="1">
      <alignment horizontal="center"/>
    </xf>
    <xf numFmtId="2" fontId="14" fillId="33" borderId="15" xfId="0" applyNumberFormat="1" applyFont="1" applyFill="1" applyBorder="1" applyAlignment="1">
      <alignment horizontal="center"/>
    </xf>
    <xf numFmtId="0" fontId="14" fillId="33" borderId="17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0" fontId="6" fillId="0" borderId="16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2" fontId="6" fillId="0" borderId="16" xfId="0" applyNumberFormat="1" applyFont="1" applyBorder="1" applyAlignment="1" applyProtection="1">
      <alignment horizontal="center" vertical="center"/>
      <protection hidden="1"/>
    </xf>
    <xf numFmtId="2" fontId="8" fillId="0" borderId="16" xfId="0" applyNumberFormat="1" applyFont="1" applyBorder="1" applyAlignment="1" applyProtection="1">
      <alignment horizontal="center"/>
      <protection hidden="1"/>
    </xf>
    <xf numFmtId="2" fontId="8" fillId="0" borderId="16" xfId="0" applyNumberFormat="1" applyFont="1" applyFill="1" applyBorder="1" applyAlignment="1" applyProtection="1">
      <alignment horizontal="center" vertical="center"/>
      <protection hidden="1"/>
    </xf>
    <xf numFmtId="0" fontId="12" fillId="34" borderId="0" xfId="0" applyFont="1" applyFill="1" applyBorder="1" applyAlignment="1" applyProtection="1">
      <alignment/>
      <protection hidden="1"/>
    </xf>
    <xf numFmtId="0" fontId="17" fillId="0" borderId="16" xfId="0" applyFont="1" applyBorder="1" applyAlignment="1">
      <alignment horizontal="right"/>
    </xf>
    <xf numFmtId="0" fontId="8" fillId="34" borderId="0" xfId="0" applyFont="1" applyFill="1" applyBorder="1" applyAlignment="1">
      <alignment horizontal="right"/>
    </xf>
    <xf numFmtId="2" fontId="15" fillId="34" borderId="0" xfId="0" applyNumberFormat="1" applyFont="1" applyFill="1" applyBorder="1" applyAlignment="1">
      <alignment vertical="center"/>
    </xf>
    <xf numFmtId="0" fontId="13" fillId="34" borderId="0" xfId="0" applyFont="1" applyFill="1" applyBorder="1" applyAlignment="1">
      <alignment/>
    </xf>
    <xf numFmtId="0" fontId="8" fillId="0" borderId="16" xfId="0" applyFont="1" applyBorder="1" applyAlignment="1">
      <alignment horizontal="center" vertical="center" wrapText="1"/>
    </xf>
    <xf numFmtId="0" fontId="12" fillId="34" borderId="0" xfId="0" applyFont="1" applyFill="1" applyBorder="1" applyAlignment="1">
      <alignment/>
    </xf>
    <xf numFmtId="0" fontId="6" fillId="36" borderId="16" xfId="0" applyFont="1" applyFill="1" applyBorder="1" applyAlignment="1">
      <alignment/>
    </xf>
    <xf numFmtId="4" fontId="6" fillId="0" borderId="16" xfId="0" applyNumberFormat="1" applyFont="1" applyBorder="1" applyAlignment="1" applyProtection="1">
      <alignment horizontal="center" vertical="center"/>
      <protection hidden="1"/>
    </xf>
    <xf numFmtId="0" fontId="6" fillId="34" borderId="13" xfId="0" applyFont="1" applyFill="1" applyBorder="1" applyAlignment="1">
      <alignment/>
    </xf>
    <xf numFmtId="0" fontId="6" fillId="34" borderId="0" xfId="0" applyNumberFormat="1" applyFont="1" applyFill="1" applyBorder="1" applyAlignment="1">
      <alignment horizontal="center"/>
    </xf>
    <xf numFmtId="0" fontId="8" fillId="34" borderId="0" xfId="0" applyFont="1" applyFill="1" applyBorder="1" applyAlignment="1">
      <alignment/>
    </xf>
    <xf numFmtId="0" fontId="6" fillId="34" borderId="23" xfId="0" applyFont="1" applyFill="1" applyBorder="1" applyAlignment="1">
      <alignment/>
    </xf>
    <xf numFmtId="0" fontId="6" fillId="34" borderId="15" xfId="0" applyFont="1" applyFill="1" applyBorder="1" applyAlignment="1">
      <alignment horizontal="center"/>
    </xf>
    <xf numFmtId="0" fontId="6" fillId="34" borderId="15" xfId="0" applyFont="1" applyFill="1" applyBorder="1" applyAlignment="1">
      <alignment/>
    </xf>
    <xf numFmtId="0" fontId="10" fillId="34" borderId="17" xfId="0" applyFont="1" applyFill="1" applyBorder="1" applyAlignment="1">
      <alignment/>
    </xf>
    <xf numFmtId="0" fontId="14" fillId="0" borderId="0" xfId="0" applyFont="1" applyAlignment="1">
      <alignment horizontal="right"/>
    </xf>
    <xf numFmtId="0" fontId="6" fillId="0" borderId="0" xfId="0" applyFont="1" applyFill="1" applyAlignment="1">
      <alignment horizontal="center"/>
    </xf>
    <xf numFmtId="2" fontId="15" fillId="0" borderId="0" xfId="0" applyNumberFormat="1" applyFont="1" applyAlignment="1">
      <alignment horizontal="center"/>
    </xf>
    <xf numFmtId="0" fontId="14" fillId="0" borderId="0" xfId="0" applyFont="1" applyFill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/>
    </xf>
    <xf numFmtId="0" fontId="6" fillId="0" borderId="1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33" borderId="10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center"/>
    </xf>
    <xf numFmtId="0" fontId="8" fillId="0" borderId="16" xfId="0" applyFont="1" applyBorder="1" applyAlignment="1">
      <alignment horizontal="left"/>
    </xf>
    <xf numFmtId="0" fontId="14" fillId="33" borderId="13" xfId="0" applyFont="1" applyFill="1" applyBorder="1" applyAlignment="1">
      <alignment horizontal="left"/>
    </xf>
    <xf numFmtId="0" fontId="14" fillId="33" borderId="0" xfId="0" applyFont="1" applyFill="1" applyBorder="1" applyAlignment="1">
      <alignment horizontal="left"/>
    </xf>
    <xf numFmtId="0" fontId="8" fillId="0" borderId="26" xfId="0" applyFont="1" applyFill="1" applyBorder="1" applyAlignment="1" applyProtection="1">
      <alignment horizontal="center"/>
      <protection hidden="1"/>
    </xf>
    <xf numFmtId="0" fontId="8" fillId="0" borderId="19" xfId="0" applyFont="1" applyFill="1" applyBorder="1" applyAlignment="1" applyProtection="1">
      <alignment horizontal="center"/>
      <protection hidden="1"/>
    </xf>
    <xf numFmtId="0" fontId="8" fillId="33" borderId="23" xfId="0" applyFont="1" applyFill="1" applyBorder="1" applyAlignment="1">
      <alignment horizontal="left"/>
    </xf>
    <xf numFmtId="0" fontId="8" fillId="33" borderId="15" xfId="0" applyFont="1" applyFill="1" applyBorder="1" applyAlignment="1">
      <alignment horizontal="left"/>
    </xf>
    <xf numFmtId="2" fontId="11" fillId="37" borderId="26" xfId="0" applyNumberFormat="1" applyFont="1" applyFill="1" applyBorder="1" applyAlignment="1" applyProtection="1">
      <alignment horizontal="center" vertical="center"/>
      <protection hidden="1"/>
    </xf>
    <xf numFmtId="2" fontId="11" fillId="37" borderId="19" xfId="0" applyNumberFormat="1" applyFont="1" applyFill="1" applyBorder="1" applyAlignment="1" applyProtection="1">
      <alignment horizontal="center" vertical="center"/>
      <protection hidden="1"/>
    </xf>
    <xf numFmtId="0" fontId="6" fillId="0" borderId="16" xfId="0" applyFont="1" applyFill="1" applyBorder="1" applyAlignment="1" applyProtection="1">
      <alignment horizontal="center"/>
      <protection/>
    </xf>
    <xf numFmtId="0" fontId="8" fillId="38" borderId="26" xfId="0" applyFont="1" applyFill="1" applyBorder="1" applyAlignment="1">
      <alignment horizontal="center"/>
    </xf>
    <xf numFmtId="0" fontId="8" fillId="38" borderId="18" xfId="0" applyFont="1" applyFill="1" applyBorder="1" applyAlignment="1">
      <alignment horizontal="center"/>
    </xf>
    <xf numFmtId="0" fontId="8" fillId="38" borderId="19" xfId="0" applyFont="1" applyFill="1" applyBorder="1" applyAlignment="1">
      <alignment horizontal="center"/>
    </xf>
    <xf numFmtId="0" fontId="11" fillId="37" borderId="16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1" fillId="37" borderId="26" xfId="0" applyFont="1" applyFill="1" applyBorder="1" applyAlignment="1">
      <alignment horizontal="center"/>
    </xf>
    <xf numFmtId="0" fontId="11" fillId="37" borderId="19" xfId="0" applyFont="1" applyFill="1" applyBorder="1" applyAlignment="1">
      <alignment horizontal="center"/>
    </xf>
    <xf numFmtId="0" fontId="8" fillId="35" borderId="26" xfId="0" applyFont="1" applyFill="1" applyBorder="1" applyAlignment="1">
      <alignment horizontal="left"/>
    </xf>
    <xf numFmtId="0" fontId="8" fillId="35" borderId="18" xfId="0" applyFont="1" applyFill="1" applyBorder="1" applyAlignment="1">
      <alignment horizontal="left"/>
    </xf>
    <xf numFmtId="0" fontId="8" fillId="0" borderId="26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35" borderId="10" xfId="0" applyFont="1" applyFill="1" applyBorder="1" applyAlignment="1">
      <alignment horizontal="left"/>
    </xf>
    <xf numFmtId="0" fontId="8" fillId="35" borderId="11" xfId="0" applyFont="1" applyFill="1" applyBorder="1" applyAlignment="1">
      <alignment horizontal="left"/>
    </xf>
    <xf numFmtId="0" fontId="8" fillId="33" borderId="27" xfId="0" applyFont="1" applyFill="1" applyBorder="1" applyAlignment="1">
      <alignment horizontal="left"/>
    </xf>
    <xf numFmtId="0" fontId="8" fillId="33" borderId="24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0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15.emf" /><Relationship Id="rId3" Type="http://schemas.openxmlformats.org/officeDocument/2006/relationships/image" Target="../media/image18.emf" /><Relationship Id="rId4" Type="http://schemas.openxmlformats.org/officeDocument/2006/relationships/image" Target="../media/image1.emf" /><Relationship Id="rId5" Type="http://schemas.openxmlformats.org/officeDocument/2006/relationships/image" Target="../media/image6.emf" /><Relationship Id="rId6" Type="http://schemas.openxmlformats.org/officeDocument/2006/relationships/image" Target="../media/image8.emf" /><Relationship Id="rId7" Type="http://schemas.openxmlformats.org/officeDocument/2006/relationships/image" Target="../media/image11.emf" /><Relationship Id="rId8" Type="http://schemas.openxmlformats.org/officeDocument/2006/relationships/image" Target="../media/image17.emf" /><Relationship Id="rId9" Type="http://schemas.openxmlformats.org/officeDocument/2006/relationships/image" Target="../media/image12.emf" /><Relationship Id="rId10" Type="http://schemas.openxmlformats.org/officeDocument/2006/relationships/image" Target="../media/image14.emf" /><Relationship Id="rId11" Type="http://schemas.openxmlformats.org/officeDocument/2006/relationships/image" Target="../media/image4.emf" /><Relationship Id="rId12" Type="http://schemas.openxmlformats.org/officeDocument/2006/relationships/image" Target="../media/image16.emf" /><Relationship Id="rId13" Type="http://schemas.openxmlformats.org/officeDocument/2006/relationships/image" Target="../media/image7.emf" /><Relationship Id="rId14" Type="http://schemas.openxmlformats.org/officeDocument/2006/relationships/image" Target="../media/image3.emf" /><Relationship Id="rId15" Type="http://schemas.openxmlformats.org/officeDocument/2006/relationships/image" Target="../media/image2.emf" /><Relationship Id="rId16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7</xdr:row>
      <xdr:rowOff>9525</xdr:rowOff>
    </xdr:to>
    <xdr:pic>
      <xdr:nvPicPr>
        <xdr:cNvPr id="1" name="2 Imagen" descr="cabe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247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12</xdr:row>
      <xdr:rowOff>28575</xdr:rowOff>
    </xdr:from>
    <xdr:to>
      <xdr:col>7</xdr:col>
      <xdr:colOff>266700</xdr:colOff>
      <xdr:row>13</xdr:row>
      <xdr:rowOff>9525</xdr:rowOff>
    </xdr:to>
    <xdr:pic>
      <xdr:nvPicPr>
        <xdr:cNvPr id="2" name="Optio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21050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13</xdr:row>
      <xdr:rowOff>38100</xdr:rowOff>
    </xdr:from>
    <xdr:to>
      <xdr:col>7</xdr:col>
      <xdr:colOff>266700</xdr:colOff>
      <xdr:row>14</xdr:row>
      <xdr:rowOff>19050</xdr:rowOff>
    </xdr:to>
    <xdr:pic>
      <xdr:nvPicPr>
        <xdr:cNvPr id="3" name="Optio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86275" y="23241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14</xdr:row>
      <xdr:rowOff>28575</xdr:rowOff>
    </xdr:from>
    <xdr:to>
      <xdr:col>7</xdr:col>
      <xdr:colOff>266700</xdr:colOff>
      <xdr:row>15</xdr:row>
      <xdr:rowOff>9525</xdr:rowOff>
    </xdr:to>
    <xdr:pic>
      <xdr:nvPicPr>
        <xdr:cNvPr id="4" name="Option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86275" y="25241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114300</xdr:colOff>
      <xdr:row>17</xdr:row>
      <xdr:rowOff>19050</xdr:rowOff>
    </xdr:from>
    <xdr:to>
      <xdr:col>7</xdr:col>
      <xdr:colOff>257175</xdr:colOff>
      <xdr:row>18</xdr:row>
      <xdr:rowOff>0</xdr:rowOff>
    </xdr:to>
    <xdr:pic>
      <xdr:nvPicPr>
        <xdr:cNvPr id="5" name="Option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76750" y="31432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114300</xdr:colOff>
      <xdr:row>18</xdr:row>
      <xdr:rowOff>0</xdr:rowOff>
    </xdr:from>
    <xdr:to>
      <xdr:col>7</xdr:col>
      <xdr:colOff>257175</xdr:colOff>
      <xdr:row>18</xdr:row>
      <xdr:rowOff>142875</xdr:rowOff>
    </xdr:to>
    <xdr:pic>
      <xdr:nvPicPr>
        <xdr:cNvPr id="6" name="OptionButt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76750" y="33337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104775</xdr:colOff>
      <xdr:row>19</xdr:row>
      <xdr:rowOff>9525</xdr:rowOff>
    </xdr:from>
    <xdr:to>
      <xdr:col>7</xdr:col>
      <xdr:colOff>247650</xdr:colOff>
      <xdr:row>19</xdr:row>
      <xdr:rowOff>142875</xdr:rowOff>
    </xdr:to>
    <xdr:pic>
      <xdr:nvPicPr>
        <xdr:cNvPr id="7" name="OptionButt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67225" y="35528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11</xdr:row>
      <xdr:rowOff>0</xdr:rowOff>
    </xdr:from>
    <xdr:to>
      <xdr:col>3</xdr:col>
      <xdr:colOff>533400</xdr:colOff>
      <xdr:row>12</xdr:row>
      <xdr:rowOff>19050</xdr:rowOff>
    </xdr:to>
    <xdr:pic>
      <xdr:nvPicPr>
        <xdr:cNvPr id="8" name="ComboBox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19350" y="1866900"/>
          <a:ext cx="381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114300</xdr:colOff>
      <xdr:row>22</xdr:row>
      <xdr:rowOff>28575</xdr:rowOff>
    </xdr:from>
    <xdr:to>
      <xdr:col>7</xdr:col>
      <xdr:colOff>257175</xdr:colOff>
      <xdr:row>23</xdr:row>
      <xdr:rowOff>9525</xdr:rowOff>
    </xdr:to>
    <xdr:pic>
      <xdr:nvPicPr>
        <xdr:cNvPr id="9" name="OptionButton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76750" y="42005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114300</xdr:colOff>
      <xdr:row>23</xdr:row>
      <xdr:rowOff>28575</xdr:rowOff>
    </xdr:from>
    <xdr:to>
      <xdr:col>7</xdr:col>
      <xdr:colOff>257175</xdr:colOff>
      <xdr:row>24</xdr:row>
      <xdr:rowOff>9525</xdr:rowOff>
    </xdr:to>
    <xdr:pic>
      <xdr:nvPicPr>
        <xdr:cNvPr id="10" name="OptionButton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76750" y="44100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114300</xdr:colOff>
      <xdr:row>24</xdr:row>
      <xdr:rowOff>28575</xdr:rowOff>
    </xdr:from>
    <xdr:to>
      <xdr:col>7</xdr:col>
      <xdr:colOff>257175</xdr:colOff>
      <xdr:row>25</xdr:row>
      <xdr:rowOff>9525</xdr:rowOff>
    </xdr:to>
    <xdr:pic>
      <xdr:nvPicPr>
        <xdr:cNvPr id="11" name="OptionButton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76750" y="46196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114300</xdr:colOff>
      <xdr:row>25</xdr:row>
      <xdr:rowOff>28575</xdr:rowOff>
    </xdr:from>
    <xdr:to>
      <xdr:col>7</xdr:col>
      <xdr:colOff>257175</xdr:colOff>
      <xdr:row>26</xdr:row>
      <xdr:rowOff>9525</xdr:rowOff>
    </xdr:to>
    <xdr:pic>
      <xdr:nvPicPr>
        <xdr:cNvPr id="12" name="OptionButton1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476750" y="48291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59</xdr:row>
      <xdr:rowOff>28575</xdr:rowOff>
    </xdr:from>
    <xdr:to>
      <xdr:col>1</xdr:col>
      <xdr:colOff>257175</xdr:colOff>
      <xdr:row>60</xdr:row>
      <xdr:rowOff>9525</xdr:rowOff>
    </xdr:to>
    <xdr:pic>
      <xdr:nvPicPr>
        <xdr:cNvPr id="13" name="OptionButton1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14325" y="11953875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60</xdr:row>
      <xdr:rowOff>28575</xdr:rowOff>
    </xdr:from>
    <xdr:to>
      <xdr:col>1</xdr:col>
      <xdr:colOff>257175</xdr:colOff>
      <xdr:row>60</xdr:row>
      <xdr:rowOff>171450</xdr:rowOff>
    </xdr:to>
    <xdr:pic>
      <xdr:nvPicPr>
        <xdr:cNvPr id="14" name="OptionButton1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14325" y="1216342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43</xdr:row>
      <xdr:rowOff>19050</xdr:rowOff>
    </xdr:from>
    <xdr:to>
      <xdr:col>7</xdr:col>
      <xdr:colOff>238125</xdr:colOff>
      <xdr:row>44</xdr:row>
      <xdr:rowOff>9525</xdr:rowOff>
    </xdr:to>
    <xdr:pic>
      <xdr:nvPicPr>
        <xdr:cNvPr id="15" name="OptionButton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457700" y="85915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44</xdr:row>
      <xdr:rowOff>38100</xdr:rowOff>
    </xdr:from>
    <xdr:to>
      <xdr:col>7</xdr:col>
      <xdr:colOff>238125</xdr:colOff>
      <xdr:row>45</xdr:row>
      <xdr:rowOff>9525</xdr:rowOff>
    </xdr:to>
    <xdr:pic>
      <xdr:nvPicPr>
        <xdr:cNvPr id="16" name="OptionButton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457700" y="882015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0</xdr:row>
      <xdr:rowOff>1114425</xdr:rowOff>
    </xdr:to>
    <xdr:pic>
      <xdr:nvPicPr>
        <xdr:cNvPr id="1" name="2 Imagen" descr="cabe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8:AL74"/>
  <sheetViews>
    <sheetView showZeros="0" tabSelected="1" zoomScalePageLayoutView="0" workbookViewId="0" topLeftCell="A31">
      <selection activeCell="F48" sqref="F48"/>
    </sheetView>
  </sheetViews>
  <sheetFormatPr defaultColWidth="11.421875" defaultRowHeight="12.75"/>
  <cols>
    <col min="1" max="1" width="2.8515625" style="7" customWidth="1"/>
    <col min="2" max="2" width="5.421875" style="7" customWidth="1"/>
    <col min="3" max="3" width="25.7109375" style="7" customWidth="1"/>
    <col min="4" max="4" width="11.28125" style="8" customWidth="1"/>
    <col min="5" max="5" width="6.57421875" style="8" customWidth="1"/>
    <col min="6" max="6" width="7.00390625" style="7" customWidth="1"/>
    <col min="7" max="7" width="6.57421875" style="9" customWidth="1"/>
    <col min="8" max="8" width="4.140625" style="7" customWidth="1"/>
    <col min="9" max="9" width="12.28125" style="7" customWidth="1"/>
    <col min="10" max="10" width="19.28125" style="7" customWidth="1"/>
    <col min="11" max="12" width="5.7109375" style="10" customWidth="1"/>
    <col min="13" max="13" width="15.7109375" style="11" hidden="1" customWidth="1"/>
    <col min="14" max="14" width="10.7109375" style="11" hidden="1" customWidth="1"/>
    <col min="15" max="15" width="8.140625" style="11" hidden="1" customWidth="1"/>
    <col min="16" max="16" width="10.421875" style="11" hidden="1" customWidth="1"/>
    <col min="17" max="17" width="7.140625" style="11" hidden="1" customWidth="1"/>
    <col min="18" max="18" width="10.421875" style="11" hidden="1" customWidth="1"/>
    <col min="19" max="19" width="9.57421875" style="11" hidden="1" customWidth="1"/>
    <col min="20" max="20" width="7.140625" style="11" hidden="1" customWidth="1"/>
    <col min="21" max="29" width="6.57421875" style="11" hidden="1" customWidth="1"/>
    <col min="30" max="30" width="6.57421875" style="12" hidden="1" customWidth="1"/>
    <col min="31" max="31" width="6.57421875" style="11" hidden="1" customWidth="1"/>
    <col min="32" max="33" width="0" style="11" hidden="1" customWidth="1"/>
    <col min="34" max="34" width="11.421875" style="12" customWidth="1"/>
    <col min="35" max="49" width="11.421875" style="11" customWidth="1"/>
    <col min="50" max="16384" width="11.57421875" style="7" customWidth="1"/>
  </cols>
  <sheetData>
    <row r="1" ht="14.25"/>
    <row r="2" ht="12" customHeight="1"/>
    <row r="3" ht="12" customHeight="1"/>
    <row r="4" ht="12" customHeight="1"/>
    <row r="5" ht="12" customHeight="1"/>
    <row r="6" ht="14.25"/>
    <row r="7" ht="14.25"/>
    <row r="8" spans="1:11" ht="14.25">
      <c r="A8" s="13"/>
      <c r="B8" s="14"/>
      <c r="C8" s="14"/>
      <c r="D8" s="15"/>
      <c r="E8" s="15"/>
      <c r="F8" s="14"/>
      <c r="G8" s="14"/>
      <c r="H8" s="16"/>
      <c r="I8" s="14"/>
      <c r="J8" s="14"/>
      <c r="K8" s="17"/>
    </row>
    <row r="9" spans="1:14" ht="12.75" customHeight="1">
      <c r="A9" s="18"/>
      <c r="B9" s="19"/>
      <c r="C9" s="20" t="s">
        <v>0</v>
      </c>
      <c r="D9" s="21" t="s">
        <v>94</v>
      </c>
      <c r="E9" s="22"/>
      <c r="F9" s="23"/>
      <c r="G9" s="23"/>
      <c r="H9" s="24"/>
      <c r="I9" s="19"/>
      <c r="J9" s="19"/>
      <c r="K9" s="25"/>
      <c r="M9" s="167" t="s">
        <v>102</v>
      </c>
      <c r="N9" s="168"/>
    </row>
    <row r="10" spans="1:11" ht="12.75" customHeight="1">
      <c r="A10" s="18"/>
      <c r="B10" s="19"/>
      <c r="C10" s="20" t="s">
        <v>2</v>
      </c>
      <c r="D10" s="27" t="s">
        <v>88</v>
      </c>
      <c r="E10" s="28"/>
      <c r="F10" s="28"/>
      <c r="G10" s="29"/>
      <c r="H10" s="19"/>
      <c r="I10" s="19"/>
      <c r="J10" s="19"/>
      <c r="K10" s="30"/>
    </row>
    <row r="11" spans="1:34" ht="16.5" customHeight="1">
      <c r="A11" s="18"/>
      <c r="B11" s="19"/>
      <c r="C11" s="19"/>
      <c r="D11" s="28"/>
      <c r="E11" s="28"/>
      <c r="F11" s="28"/>
      <c r="G11" s="29"/>
      <c r="H11" s="19"/>
      <c r="I11" s="19"/>
      <c r="J11" s="31"/>
      <c r="K11" s="30"/>
      <c r="AH11" s="12" t="b">
        <v>0</v>
      </c>
    </row>
    <row r="12" spans="1:17" ht="16.5" customHeight="1">
      <c r="A12" s="18"/>
      <c r="B12" s="177" t="s">
        <v>92</v>
      </c>
      <c r="C12" s="178"/>
      <c r="D12" s="32"/>
      <c r="E12" s="33" t="s">
        <v>58</v>
      </c>
      <c r="F12" s="19"/>
      <c r="G12" s="19"/>
      <c r="H12" s="24"/>
      <c r="I12" s="175" t="s">
        <v>9</v>
      </c>
      <c r="J12" s="176"/>
      <c r="K12" s="34"/>
      <c r="M12" s="170" t="s">
        <v>86</v>
      </c>
      <c r="N12" s="170"/>
      <c r="O12" s="170"/>
      <c r="P12" s="35"/>
      <c r="Q12" s="35"/>
    </row>
    <row r="13" spans="1:17" ht="16.5" customHeight="1">
      <c r="A13" s="18"/>
      <c r="B13" s="164" t="s">
        <v>93</v>
      </c>
      <c r="C13" s="165"/>
      <c r="D13" s="36">
        <v>0.8</v>
      </c>
      <c r="E13" s="37" t="s">
        <v>5</v>
      </c>
      <c r="F13" s="38"/>
      <c r="G13" s="38"/>
      <c r="H13" s="39"/>
      <c r="I13" s="40" t="s">
        <v>3</v>
      </c>
      <c r="J13" s="41">
        <v>0.6</v>
      </c>
      <c r="K13" s="34"/>
      <c r="M13" s="170"/>
      <c r="N13" s="170"/>
      <c r="O13" s="170"/>
      <c r="P13" s="35"/>
      <c r="Q13" s="35"/>
    </row>
    <row r="14" spans="1:34" ht="16.5" customHeight="1">
      <c r="A14" s="18"/>
      <c r="B14" s="164" t="s">
        <v>1</v>
      </c>
      <c r="C14" s="165"/>
      <c r="D14" s="36">
        <f>(AL16)*D13</f>
        <v>3.2</v>
      </c>
      <c r="E14" s="37" t="s">
        <v>5</v>
      </c>
      <c r="F14" s="38"/>
      <c r="G14" s="38"/>
      <c r="H14" s="39"/>
      <c r="I14" s="40" t="s">
        <v>4</v>
      </c>
      <c r="J14" s="41">
        <v>0.7</v>
      </c>
      <c r="K14" s="34"/>
      <c r="M14" s="170"/>
      <c r="N14" s="170"/>
      <c r="O14" s="170"/>
      <c r="P14" s="35"/>
      <c r="Q14" s="35"/>
      <c r="AH14" s="12" t="b">
        <v>1</v>
      </c>
    </row>
    <row r="15" spans="1:37" ht="16.5" customHeight="1">
      <c r="A15" s="18"/>
      <c r="B15" s="164" t="s">
        <v>53</v>
      </c>
      <c r="C15" s="165"/>
      <c r="D15" s="42">
        <f>F15*D14</f>
        <v>960</v>
      </c>
      <c r="E15" s="37" t="s">
        <v>8</v>
      </c>
      <c r="F15" s="43">
        <v>300</v>
      </c>
      <c r="G15" s="44" t="s">
        <v>103</v>
      </c>
      <c r="H15" s="39"/>
      <c r="I15" s="40" t="s">
        <v>6</v>
      </c>
      <c r="J15" s="41">
        <v>0.8</v>
      </c>
      <c r="K15" s="34"/>
      <c r="M15" s="45" t="s">
        <v>85</v>
      </c>
      <c r="N15" s="11" t="s">
        <v>81</v>
      </c>
      <c r="O15" s="45" t="s">
        <v>80</v>
      </c>
      <c r="P15" s="35"/>
      <c r="Q15" s="35"/>
      <c r="R15" s="35"/>
      <c r="AH15" s="12" t="b">
        <v>0</v>
      </c>
      <c r="AJ15" s="12"/>
      <c r="AK15" s="46"/>
    </row>
    <row r="16" spans="1:38" ht="16.5" customHeight="1">
      <c r="A16" s="18"/>
      <c r="B16" s="47"/>
      <c r="C16" s="48"/>
      <c r="D16" s="49"/>
      <c r="E16" s="50"/>
      <c r="F16" s="38"/>
      <c r="G16" s="38"/>
      <c r="H16" s="24"/>
      <c r="I16" s="19"/>
      <c r="J16" s="19"/>
      <c r="K16" s="25"/>
      <c r="M16" s="45">
        <v>4.8</v>
      </c>
      <c r="N16" s="51">
        <f>D14</f>
        <v>3.2</v>
      </c>
      <c r="O16" s="51">
        <f>M16*N16</f>
        <v>15.36</v>
      </c>
      <c r="P16" s="35"/>
      <c r="Q16" s="35"/>
      <c r="R16" s="35"/>
      <c r="AH16" s="12" t="b">
        <v>0</v>
      </c>
      <c r="AK16" s="12">
        <v>2</v>
      </c>
      <c r="AL16" s="12" t="s">
        <v>118</v>
      </c>
    </row>
    <row r="17" spans="1:38" ht="16.5" customHeight="1">
      <c r="A17" s="18"/>
      <c r="B17" s="164" t="s">
        <v>51</v>
      </c>
      <c r="C17" s="165"/>
      <c r="D17" s="49">
        <v>6.5</v>
      </c>
      <c r="E17" s="37" t="s">
        <v>7</v>
      </c>
      <c r="F17" s="38"/>
      <c r="G17" s="38"/>
      <c r="H17" s="24"/>
      <c r="I17" s="175" t="s">
        <v>13</v>
      </c>
      <c r="J17" s="176"/>
      <c r="K17" s="34"/>
      <c r="AK17" s="12">
        <v>4</v>
      </c>
      <c r="AL17" s="12"/>
    </row>
    <row r="18" spans="1:11" ht="16.5" customHeight="1">
      <c r="A18" s="18"/>
      <c r="B18" s="164" t="s">
        <v>52</v>
      </c>
      <c r="C18" s="165"/>
      <c r="D18" s="52">
        <f>O16</f>
        <v>15.36</v>
      </c>
      <c r="E18" s="37" t="s">
        <v>43</v>
      </c>
      <c r="F18" s="19"/>
      <c r="G18" s="19"/>
      <c r="H18" s="39"/>
      <c r="I18" s="40" t="s">
        <v>62</v>
      </c>
      <c r="J18" s="41">
        <v>25</v>
      </c>
      <c r="K18" s="34"/>
    </row>
    <row r="19" spans="1:11" ht="16.5" customHeight="1">
      <c r="A19" s="18"/>
      <c r="B19" s="164" t="s">
        <v>82</v>
      </c>
      <c r="C19" s="165"/>
      <c r="D19" s="53">
        <v>100</v>
      </c>
      <c r="E19" s="37" t="s">
        <v>15</v>
      </c>
      <c r="F19" s="19"/>
      <c r="G19" s="19"/>
      <c r="H19" s="39"/>
      <c r="I19" s="40" t="s">
        <v>63</v>
      </c>
      <c r="J19" s="41">
        <v>50</v>
      </c>
      <c r="K19" s="34"/>
    </row>
    <row r="20" spans="1:34" ht="16.5" customHeight="1">
      <c r="A20" s="18"/>
      <c r="B20" s="164" t="s">
        <v>60</v>
      </c>
      <c r="C20" s="165"/>
      <c r="D20" s="53">
        <f>D18+D19/100*D18</f>
        <v>30.72</v>
      </c>
      <c r="E20" s="37" t="s">
        <v>43</v>
      </c>
      <c r="F20" s="19"/>
      <c r="G20" s="19"/>
      <c r="H20" s="39"/>
      <c r="I20" s="40" t="s">
        <v>64</v>
      </c>
      <c r="J20" s="41">
        <v>75</v>
      </c>
      <c r="K20" s="34"/>
      <c r="L20" s="54"/>
      <c r="AH20" s="12" t="b">
        <v>0</v>
      </c>
    </row>
    <row r="21" spans="1:34" ht="16.5" customHeight="1">
      <c r="A21" s="18"/>
      <c r="B21" s="47"/>
      <c r="C21" s="48"/>
      <c r="D21" s="53">
        <f>D20*1.36</f>
        <v>41.7792</v>
      </c>
      <c r="E21" s="37" t="s">
        <v>14</v>
      </c>
      <c r="F21" s="19"/>
      <c r="G21" s="19"/>
      <c r="H21" s="24"/>
      <c r="I21" s="19"/>
      <c r="J21" s="19"/>
      <c r="K21" s="34"/>
      <c r="L21" s="54"/>
      <c r="AH21" s="12" t="b">
        <v>1</v>
      </c>
    </row>
    <row r="22" spans="1:34" ht="16.5" customHeight="1">
      <c r="A22" s="18"/>
      <c r="B22" s="164" t="s">
        <v>90</v>
      </c>
      <c r="C22" s="165"/>
      <c r="D22" s="53">
        <f>D21/0.75</f>
        <v>55.705600000000004</v>
      </c>
      <c r="E22" s="37" t="s">
        <v>14</v>
      </c>
      <c r="F22" s="19"/>
      <c r="G22" s="19"/>
      <c r="H22" s="24"/>
      <c r="I22" s="175" t="s">
        <v>17</v>
      </c>
      <c r="J22" s="176"/>
      <c r="K22" s="34"/>
      <c r="L22" s="54"/>
      <c r="AH22" s="12" t="b">
        <v>0</v>
      </c>
    </row>
    <row r="23" spans="1:30" ht="16.5" customHeight="1">
      <c r="A23" s="18"/>
      <c r="B23" s="47"/>
      <c r="C23" s="48"/>
      <c r="D23" s="53"/>
      <c r="E23" s="37"/>
      <c r="F23" s="19"/>
      <c r="G23" s="19"/>
      <c r="H23" s="39"/>
      <c r="I23" s="55" t="s">
        <v>61</v>
      </c>
      <c r="J23" s="56">
        <v>90</v>
      </c>
      <c r="K23" s="34"/>
      <c r="L23" s="54"/>
      <c r="AD23" s="12" t="b">
        <v>0</v>
      </c>
    </row>
    <row r="24" spans="1:30" ht="16.5" customHeight="1">
      <c r="A24" s="18"/>
      <c r="B24" s="164" t="s">
        <v>70</v>
      </c>
      <c r="C24" s="165"/>
      <c r="D24" s="57">
        <f>10/(D17*D14)</f>
        <v>0.4807692307692307</v>
      </c>
      <c r="E24" s="37" t="s">
        <v>10</v>
      </c>
      <c r="F24" s="19"/>
      <c r="G24" s="19"/>
      <c r="H24" s="39"/>
      <c r="I24" s="40" t="s">
        <v>18</v>
      </c>
      <c r="J24" s="41">
        <v>120</v>
      </c>
      <c r="K24" s="34"/>
      <c r="AD24" s="12" t="b">
        <v>1</v>
      </c>
    </row>
    <row r="25" spans="1:30" ht="16.5" customHeight="1">
      <c r="A25" s="18"/>
      <c r="B25" s="164" t="s">
        <v>11</v>
      </c>
      <c r="C25" s="165"/>
      <c r="D25" s="49">
        <f>IF(AH14=TRUE,J13,IF(AH15=TRUE,J14,IF(AH16=TRUE,J15)))</f>
        <v>0.6</v>
      </c>
      <c r="E25" s="50"/>
      <c r="F25" s="19"/>
      <c r="G25" s="19"/>
      <c r="H25" s="39"/>
      <c r="I25" s="40" t="s">
        <v>19</v>
      </c>
      <c r="J25" s="41">
        <v>150</v>
      </c>
      <c r="K25" s="25"/>
      <c r="L25" s="54"/>
      <c r="M25" s="169" t="s">
        <v>89</v>
      </c>
      <c r="N25" s="169"/>
      <c r="O25" s="45" t="s">
        <v>72</v>
      </c>
      <c r="P25" s="45" t="s">
        <v>75</v>
      </c>
      <c r="Q25" s="45" t="s">
        <v>79</v>
      </c>
      <c r="R25" s="45" t="s">
        <v>73</v>
      </c>
      <c r="AD25" s="12" t="b">
        <v>0</v>
      </c>
    </row>
    <row r="26" spans="1:30" ht="16.5" customHeight="1">
      <c r="A26" s="18"/>
      <c r="B26" s="181" t="s">
        <v>71</v>
      </c>
      <c r="C26" s="182"/>
      <c r="D26" s="58">
        <f>D24/D25</f>
        <v>0.8012820512820512</v>
      </c>
      <c r="E26" s="59" t="s">
        <v>10</v>
      </c>
      <c r="F26" s="19"/>
      <c r="G26" s="19"/>
      <c r="H26" s="39"/>
      <c r="I26" s="40" t="s">
        <v>20</v>
      </c>
      <c r="J26" s="41">
        <v>180</v>
      </c>
      <c r="K26" s="34"/>
      <c r="L26" s="54"/>
      <c r="M26" s="169"/>
      <c r="N26" s="169"/>
      <c r="O26" s="45" t="str">
        <f>AL16</f>
        <v>4</v>
      </c>
      <c r="P26" s="60">
        <f>O26*1820/10</f>
        <v>728</v>
      </c>
      <c r="Q26" s="60">
        <f>D$17</f>
        <v>6.5</v>
      </c>
      <c r="R26" s="61">
        <f>P26*$D$17*10*0.96/3600</f>
        <v>12.618666666666666</v>
      </c>
      <c r="AD26" s="12" t="b">
        <v>0</v>
      </c>
    </row>
    <row r="27" spans="1:16" ht="16.5" customHeight="1">
      <c r="A27" s="18"/>
      <c r="B27" s="62"/>
      <c r="C27" s="63"/>
      <c r="D27" s="58">
        <f>1/D26</f>
        <v>1.2480000000000002</v>
      </c>
      <c r="E27" s="59" t="s">
        <v>12</v>
      </c>
      <c r="F27" s="19"/>
      <c r="G27" s="19"/>
      <c r="H27" s="24"/>
      <c r="I27" s="19"/>
      <c r="J27" s="19"/>
      <c r="K27" s="34"/>
      <c r="L27" s="54"/>
      <c r="M27" s="64"/>
      <c r="N27" s="65"/>
      <c r="O27" s="45"/>
      <c r="P27" s="45"/>
    </row>
    <row r="28" spans="1:32" ht="16.5" customHeight="1">
      <c r="A28" s="18"/>
      <c r="B28" s="62"/>
      <c r="C28" s="66"/>
      <c r="D28" s="49"/>
      <c r="E28" s="50"/>
      <c r="F28" s="19"/>
      <c r="G28" s="19"/>
      <c r="H28" s="24"/>
      <c r="I28" s="175" t="s">
        <v>22</v>
      </c>
      <c r="J28" s="176"/>
      <c r="K28" s="34"/>
      <c r="L28" s="54"/>
      <c r="N28" s="45"/>
      <c r="V28" s="35"/>
      <c r="W28" s="35"/>
      <c r="X28" s="35"/>
      <c r="Y28" s="35"/>
      <c r="Z28" s="35"/>
      <c r="AA28" s="35"/>
      <c r="AB28" s="35"/>
      <c r="AC28" s="35"/>
      <c r="AD28" s="67"/>
      <c r="AE28" s="35"/>
      <c r="AF28" s="35"/>
    </row>
    <row r="29" spans="1:32" ht="16.5" customHeight="1">
      <c r="A29" s="18"/>
      <c r="B29" s="164" t="s">
        <v>59</v>
      </c>
      <c r="C29" s="165"/>
      <c r="D29" s="49">
        <f>IF(AH20=TRUE,J18,IF(AH21=TRUE,J19,IF(AH22=TRUE,J20)))</f>
        <v>50</v>
      </c>
      <c r="E29" s="37" t="s">
        <v>15</v>
      </c>
      <c r="F29" s="19"/>
      <c r="G29" s="19"/>
      <c r="H29" s="24"/>
      <c r="I29" s="40" t="s">
        <v>24</v>
      </c>
      <c r="J29" s="56" t="s">
        <v>74</v>
      </c>
      <c r="K29" s="34"/>
      <c r="L29" s="54"/>
      <c r="M29" s="163" t="s">
        <v>57</v>
      </c>
      <c r="N29" s="163"/>
      <c r="O29" s="45"/>
      <c r="P29" s="45"/>
      <c r="Q29" s="35"/>
      <c r="R29" s="35"/>
      <c r="S29" s="35"/>
      <c r="V29" s="35"/>
      <c r="W29" s="35"/>
      <c r="X29" s="35"/>
      <c r="Y29" s="35"/>
      <c r="Z29" s="35"/>
      <c r="AA29" s="35"/>
      <c r="AB29" s="35"/>
      <c r="AC29" s="35"/>
      <c r="AD29" s="67"/>
      <c r="AE29" s="35"/>
      <c r="AF29" s="35"/>
    </row>
    <row r="30" spans="1:32" ht="16.5" customHeight="1">
      <c r="A30" s="18"/>
      <c r="B30" s="164" t="s">
        <v>16</v>
      </c>
      <c r="C30" s="165"/>
      <c r="D30" s="53">
        <f>D22*100/D29</f>
        <v>111.41120000000001</v>
      </c>
      <c r="E30" s="37" t="s">
        <v>14</v>
      </c>
      <c r="F30" s="19"/>
      <c r="G30" s="19"/>
      <c r="H30" s="19"/>
      <c r="I30" s="40" t="s">
        <v>3</v>
      </c>
      <c r="J30" s="68">
        <v>0.1</v>
      </c>
      <c r="K30" s="25"/>
      <c r="L30" s="54"/>
      <c r="N30" s="11" t="s">
        <v>54</v>
      </c>
      <c r="O30" s="45"/>
      <c r="P30" s="45"/>
      <c r="Q30" s="35"/>
      <c r="R30" s="35"/>
      <c r="S30" s="35"/>
      <c r="V30" s="35"/>
      <c r="W30" s="35"/>
      <c r="X30" s="35"/>
      <c r="Y30" s="35"/>
      <c r="Z30" s="35"/>
      <c r="AA30" s="35"/>
      <c r="AB30" s="35"/>
      <c r="AC30" s="35"/>
      <c r="AD30" s="67"/>
      <c r="AE30" s="35"/>
      <c r="AF30" s="35"/>
    </row>
    <row r="31" spans="1:32" ht="16.5" customHeight="1">
      <c r="A31" s="18"/>
      <c r="B31" s="47"/>
      <c r="C31" s="48"/>
      <c r="D31" s="49"/>
      <c r="E31" s="50"/>
      <c r="F31" s="19"/>
      <c r="G31" s="19"/>
      <c r="H31" s="19"/>
      <c r="I31" s="40" t="s">
        <v>4</v>
      </c>
      <c r="J31" s="68">
        <v>0.15</v>
      </c>
      <c r="K31" s="34"/>
      <c r="L31" s="54"/>
      <c r="M31" s="11" t="s">
        <v>55</v>
      </c>
      <c r="N31" s="45" t="s">
        <v>87</v>
      </c>
      <c r="O31" s="45"/>
      <c r="Q31" s="35"/>
      <c r="R31" s="35"/>
      <c r="S31" s="35"/>
      <c r="V31" s="35"/>
      <c r="W31" s="35"/>
      <c r="X31" s="35"/>
      <c r="Y31" s="35"/>
      <c r="Z31" s="35"/>
      <c r="AA31" s="35"/>
      <c r="AB31" s="35"/>
      <c r="AC31" s="35"/>
      <c r="AD31" s="67"/>
      <c r="AE31" s="35"/>
      <c r="AF31" s="35"/>
    </row>
    <row r="32" spans="1:23" ht="16.5" customHeight="1">
      <c r="A32" s="18"/>
      <c r="B32" s="164" t="s">
        <v>95</v>
      </c>
      <c r="C32" s="165"/>
      <c r="D32" s="49" t="str">
        <f>IF(AD23=TRUE,"Pequeño",IF(AD24=TRUE,"Mediano",IF(AD25=TRUE,"Grande",IF(AD26=TRUE,"Muy Grande",))))</f>
        <v>Mediano</v>
      </c>
      <c r="E32" s="37"/>
      <c r="F32" s="19"/>
      <c r="G32" s="19"/>
      <c r="H32" s="19"/>
      <c r="I32" s="40" t="s">
        <v>6</v>
      </c>
      <c r="J32" s="68">
        <v>0.207</v>
      </c>
      <c r="K32" s="34"/>
      <c r="L32" s="54"/>
      <c r="M32" s="11" t="s">
        <v>56</v>
      </c>
      <c r="N32" s="45" t="s">
        <v>87</v>
      </c>
      <c r="O32" s="45"/>
      <c r="P32" s="45"/>
      <c r="Q32" s="35"/>
      <c r="R32" s="35"/>
      <c r="S32" s="35"/>
      <c r="V32" s="35"/>
      <c r="W32" s="35"/>
    </row>
    <row r="33" spans="1:19" ht="16.5" customHeight="1">
      <c r="A33" s="18"/>
      <c r="B33" s="185" t="s">
        <v>96</v>
      </c>
      <c r="C33" s="186"/>
      <c r="D33" s="69">
        <f>IF(AD23=TRUE,J23,IF(AD24=TRUE,J24,IF(AD25=TRUE,J25,IF(AD26=TRUE,J26,""))))</f>
        <v>120</v>
      </c>
      <c r="E33" s="70" t="s">
        <v>14</v>
      </c>
      <c r="F33" s="19"/>
      <c r="G33" s="19"/>
      <c r="H33" s="19"/>
      <c r="I33" s="19"/>
      <c r="J33" s="14"/>
      <c r="K33" s="34"/>
      <c r="M33" s="71"/>
      <c r="Q33" s="72"/>
      <c r="R33" s="72"/>
      <c r="S33" s="72"/>
    </row>
    <row r="34" spans="1:19" ht="16.5" customHeight="1">
      <c r="A34" s="18"/>
      <c r="B34" s="19"/>
      <c r="C34" s="19"/>
      <c r="D34" s="73"/>
      <c r="E34" s="22"/>
      <c r="F34" s="19"/>
      <c r="G34" s="19"/>
      <c r="H34" s="19"/>
      <c r="I34" s="19"/>
      <c r="J34" s="19"/>
      <c r="K34" s="34"/>
      <c r="L34" s="54"/>
      <c r="M34" s="171" t="s">
        <v>104</v>
      </c>
      <c r="N34" s="171"/>
      <c r="O34" s="171"/>
      <c r="S34" s="35"/>
    </row>
    <row r="35" spans="1:19" ht="16.5" customHeight="1">
      <c r="A35" s="18"/>
      <c r="B35" s="197" t="s">
        <v>65</v>
      </c>
      <c r="C35" s="198"/>
      <c r="D35" s="74"/>
      <c r="E35" s="75"/>
      <c r="F35" s="19"/>
      <c r="G35" s="19"/>
      <c r="H35" s="19"/>
      <c r="I35" s="19"/>
      <c r="J35" s="19"/>
      <c r="K35" s="25"/>
      <c r="L35" s="54"/>
      <c r="M35" s="172" t="s">
        <v>96</v>
      </c>
      <c r="N35" s="45">
        <f>D33</f>
        <v>120</v>
      </c>
      <c r="O35" s="11" t="s">
        <v>14</v>
      </c>
      <c r="S35" s="35"/>
    </row>
    <row r="36" spans="1:32" ht="16.5" customHeight="1">
      <c r="A36" s="18"/>
      <c r="B36" s="164" t="s">
        <v>21</v>
      </c>
      <c r="C36" s="165"/>
      <c r="D36" s="57">
        <f>IF(D29=J18,J30*D33/1.36,IF(D29=J19,J31*D33/1.36,IF(D29=J20,J32*D33/1.36)))</f>
        <v>13.235294117647058</v>
      </c>
      <c r="E36" s="37" t="s">
        <v>50</v>
      </c>
      <c r="F36" s="19"/>
      <c r="G36" s="19"/>
      <c r="H36" s="19"/>
      <c r="I36" s="19"/>
      <c r="J36" s="19"/>
      <c r="K36" s="34"/>
      <c r="L36" s="54"/>
      <c r="M36" s="172"/>
      <c r="N36" s="76">
        <f>N35/1.36</f>
        <v>88.23529411764706</v>
      </c>
      <c r="O36" s="11" t="s">
        <v>43</v>
      </c>
      <c r="P36" s="72"/>
      <c r="Q36" s="166" t="s">
        <v>105</v>
      </c>
      <c r="R36" s="166"/>
      <c r="X36" s="72"/>
      <c r="Y36" s="72"/>
      <c r="Z36" s="72"/>
      <c r="AA36" s="72"/>
      <c r="AB36" s="72"/>
      <c r="AC36" s="72"/>
      <c r="AD36" s="77"/>
      <c r="AE36" s="72"/>
      <c r="AF36" s="78"/>
    </row>
    <row r="37" spans="1:31" ht="16.5" customHeight="1">
      <c r="A37" s="18"/>
      <c r="B37" s="47"/>
      <c r="C37" s="48"/>
      <c r="D37" s="57">
        <f>D36*D26</f>
        <v>10.605203619909501</v>
      </c>
      <c r="E37" s="37" t="s">
        <v>68</v>
      </c>
      <c r="F37" s="19"/>
      <c r="G37" s="19"/>
      <c r="H37" s="19"/>
      <c r="I37" s="19"/>
      <c r="J37" s="19"/>
      <c r="K37" s="34"/>
      <c r="L37" s="54"/>
      <c r="M37" s="173" t="s">
        <v>106</v>
      </c>
      <c r="N37" s="45">
        <f>+I60</f>
        <v>560</v>
      </c>
      <c r="O37" s="11" t="s">
        <v>46</v>
      </c>
      <c r="Q37" s="166"/>
      <c r="R37" s="166"/>
      <c r="V37" s="72"/>
      <c r="W37" s="72"/>
      <c r="X37" s="76"/>
      <c r="Y37" s="76"/>
      <c r="Z37" s="76"/>
      <c r="AA37" s="76"/>
      <c r="AB37" s="76"/>
      <c r="AC37" s="76"/>
      <c r="AD37" s="79"/>
      <c r="AE37" s="76"/>
    </row>
    <row r="38" spans="1:31" ht="16.5" customHeight="1">
      <c r="A38" s="18"/>
      <c r="B38" s="164" t="s">
        <v>23</v>
      </c>
      <c r="C38" s="165"/>
      <c r="D38" s="80">
        <f>D36*0.1/100</f>
        <v>0.013235294117647059</v>
      </c>
      <c r="E38" s="37" t="s">
        <v>50</v>
      </c>
      <c r="F38" s="19"/>
      <c r="G38" s="19"/>
      <c r="H38" s="19"/>
      <c r="I38" s="19"/>
      <c r="J38" s="19"/>
      <c r="K38" s="34"/>
      <c r="M38" s="173"/>
      <c r="N38" s="81">
        <f>N36*N37</f>
        <v>49411.76470588235</v>
      </c>
      <c r="O38" s="11" t="s">
        <v>28</v>
      </c>
      <c r="Q38" s="76" t="s">
        <v>26</v>
      </c>
      <c r="R38" s="78" t="s">
        <v>107</v>
      </c>
      <c r="U38" s="35"/>
      <c r="V38" s="76"/>
      <c r="W38" s="76"/>
      <c r="X38" s="78"/>
      <c r="Y38" s="78"/>
      <c r="Z38" s="78"/>
      <c r="AA38" s="78"/>
      <c r="AB38" s="78"/>
      <c r="AC38" s="78"/>
      <c r="AD38" s="82"/>
      <c r="AE38" s="78"/>
    </row>
    <row r="39" spans="1:31" ht="16.5" customHeight="1">
      <c r="A39" s="18"/>
      <c r="B39" s="62"/>
      <c r="C39" s="66"/>
      <c r="D39" s="80">
        <f>D37*0.1/100</f>
        <v>0.010605203619909503</v>
      </c>
      <c r="E39" s="37" t="s">
        <v>68</v>
      </c>
      <c r="F39" s="19"/>
      <c r="G39" s="19"/>
      <c r="H39" s="19"/>
      <c r="I39" s="19"/>
      <c r="J39" s="19"/>
      <c r="K39" s="34"/>
      <c r="M39" s="173" t="s">
        <v>108</v>
      </c>
      <c r="N39" s="81">
        <v>12000</v>
      </c>
      <c r="O39" s="11" t="s">
        <v>44</v>
      </c>
      <c r="Q39" s="81">
        <v>500</v>
      </c>
      <c r="R39" s="76">
        <f>$N$38/$N$39+$N$38/($N$40*Q39)+($N$38*$N$41*0.6)/(Q39*100)+($N$38*(($N$43+$N$42)/(Q39*100)))+$N$36*$N$45*$N$44</f>
        <v>14.967058823529412</v>
      </c>
      <c r="U39" s="35"/>
      <c r="V39" s="45"/>
      <c r="W39" s="78"/>
      <c r="X39" s="45"/>
      <c r="Y39" s="45"/>
      <c r="Z39" s="45"/>
      <c r="AA39" s="45"/>
      <c r="AB39" s="45"/>
      <c r="AC39" s="45"/>
      <c r="AD39" s="83"/>
      <c r="AE39" s="45"/>
    </row>
    <row r="40" spans="1:31" ht="16.5" customHeight="1" thickBot="1">
      <c r="A40" s="18"/>
      <c r="B40" s="164" t="s">
        <v>67</v>
      </c>
      <c r="C40" s="165"/>
      <c r="D40" s="84">
        <v>1</v>
      </c>
      <c r="E40" s="37" t="s">
        <v>45</v>
      </c>
      <c r="F40" s="19"/>
      <c r="G40" s="19"/>
      <c r="H40" s="19"/>
      <c r="I40" s="19"/>
      <c r="J40" s="19"/>
      <c r="K40" s="34"/>
      <c r="L40" s="54"/>
      <c r="M40" s="173"/>
      <c r="N40" s="45">
        <v>20</v>
      </c>
      <c r="O40" s="11" t="s">
        <v>33</v>
      </c>
      <c r="Q40" s="81">
        <v>1000</v>
      </c>
      <c r="R40" s="76">
        <f>$N$38/$N$39+$N$38/($N$40*Q40)+($N$38*$N$41*0.6)/(Q40*100)+($N$38*(($N$43+$N$42)/(Q40*100)))+$N$36*$N$45*$N$44</f>
        <v>10.865882352941176</v>
      </c>
      <c r="U40" s="35"/>
      <c r="V40" s="76"/>
      <c r="W40" s="45"/>
      <c r="X40" s="76"/>
      <c r="Y40" s="76"/>
      <c r="Z40" s="76"/>
      <c r="AA40" s="76"/>
      <c r="AB40" s="76"/>
      <c r="AC40" s="76"/>
      <c r="AD40" s="79"/>
      <c r="AE40" s="76"/>
    </row>
    <row r="41" spans="1:31" ht="16.5" customHeight="1" thickTop="1">
      <c r="A41" s="18"/>
      <c r="B41" s="85" t="s">
        <v>69</v>
      </c>
      <c r="C41" s="86"/>
      <c r="D41" s="87">
        <f>D40*D36</f>
        <v>13.235294117647058</v>
      </c>
      <c r="E41" s="88" t="s">
        <v>31</v>
      </c>
      <c r="F41" s="19"/>
      <c r="G41" s="19"/>
      <c r="H41" s="19"/>
      <c r="I41" s="19"/>
      <c r="J41" s="19"/>
      <c r="K41" s="25"/>
      <c r="L41" s="54"/>
      <c r="M41" s="26" t="s">
        <v>109</v>
      </c>
      <c r="N41" s="83">
        <f>+D51</f>
        <v>5</v>
      </c>
      <c r="O41" s="11" t="s">
        <v>15</v>
      </c>
      <c r="U41" s="35"/>
      <c r="V41" s="76"/>
      <c r="W41" s="76"/>
      <c r="X41" s="76"/>
      <c r="Y41" s="76"/>
      <c r="Z41" s="76"/>
      <c r="AA41" s="76"/>
      <c r="AB41" s="76"/>
      <c r="AC41" s="76"/>
      <c r="AD41" s="79"/>
      <c r="AE41" s="76"/>
    </row>
    <row r="42" spans="1:31" ht="16.5" customHeight="1">
      <c r="A42" s="18"/>
      <c r="B42" s="89"/>
      <c r="C42" s="90"/>
      <c r="D42" s="91">
        <f>D37*D40</f>
        <v>10.605203619909501</v>
      </c>
      <c r="E42" s="92" t="s">
        <v>39</v>
      </c>
      <c r="F42" s="19"/>
      <c r="G42" s="19"/>
      <c r="H42" s="19"/>
      <c r="I42" s="19"/>
      <c r="J42" s="31"/>
      <c r="K42" s="34"/>
      <c r="L42" s="54"/>
      <c r="M42" s="26" t="s">
        <v>47</v>
      </c>
      <c r="N42" s="83">
        <v>0.2</v>
      </c>
      <c r="O42" s="11" t="s">
        <v>15</v>
      </c>
      <c r="V42" s="76"/>
      <c r="W42" s="76"/>
      <c r="X42" s="76"/>
      <c r="Y42" s="76"/>
      <c r="Z42" s="76"/>
      <c r="AA42" s="76"/>
      <c r="AB42" s="76"/>
      <c r="AC42" s="76"/>
      <c r="AD42" s="79"/>
      <c r="AE42" s="76"/>
    </row>
    <row r="43" spans="1:31" ht="16.5" customHeight="1">
      <c r="A43" s="18"/>
      <c r="B43" s="19"/>
      <c r="C43" s="19"/>
      <c r="D43" s="73"/>
      <c r="E43" s="22"/>
      <c r="F43" s="19"/>
      <c r="G43" s="19"/>
      <c r="H43" s="19"/>
      <c r="I43" s="174" t="s">
        <v>101</v>
      </c>
      <c r="J43" s="174"/>
      <c r="K43" s="34"/>
      <c r="L43" s="54"/>
      <c r="M43" s="26" t="s">
        <v>48</v>
      </c>
      <c r="N43" s="83">
        <v>0.1</v>
      </c>
      <c r="O43" s="11" t="s">
        <v>15</v>
      </c>
      <c r="V43" s="76"/>
      <c r="W43" s="76"/>
      <c r="X43" s="76"/>
      <c r="Y43" s="76"/>
      <c r="Z43" s="76"/>
      <c r="AA43" s="76"/>
      <c r="AB43" s="76"/>
      <c r="AC43" s="76"/>
      <c r="AD43" s="79"/>
      <c r="AE43" s="76"/>
    </row>
    <row r="44" spans="1:23" ht="16.5" customHeight="1">
      <c r="A44" s="18"/>
      <c r="B44" s="201" t="s">
        <v>66</v>
      </c>
      <c r="C44" s="202"/>
      <c r="D44" s="93"/>
      <c r="E44" s="94"/>
      <c r="F44" s="95"/>
      <c r="G44" s="96"/>
      <c r="H44" s="97"/>
      <c r="I44" s="40" t="s">
        <v>3</v>
      </c>
      <c r="J44" s="98">
        <v>100</v>
      </c>
      <c r="K44" s="99"/>
      <c r="M44" s="100" t="s">
        <v>110</v>
      </c>
      <c r="N44" s="83">
        <v>0.2</v>
      </c>
      <c r="O44" s="101" t="s">
        <v>45</v>
      </c>
      <c r="W44" s="76"/>
    </row>
    <row r="45" spans="1:15" ht="16.5" customHeight="1">
      <c r="A45" s="18"/>
      <c r="B45" s="177" t="s">
        <v>25</v>
      </c>
      <c r="C45" s="178"/>
      <c r="D45" s="102">
        <f>IF(AD46=TRUE,J44,J45)</f>
        <v>100</v>
      </c>
      <c r="E45" s="103" t="s">
        <v>26</v>
      </c>
      <c r="F45" s="104"/>
      <c r="G45" s="105"/>
      <c r="H45" s="97"/>
      <c r="I45" s="40" t="s">
        <v>6</v>
      </c>
      <c r="J45" s="106">
        <v>200</v>
      </c>
      <c r="K45" s="99"/>
      <c r="M45" s="100" t="s">
        <v>111</v>
      </c>
      <c r="N45" s="107">
        <v>0.15</v>
      </c>
      <c r="O45" s="101" t="s">
        <v>49</v>
      </c>
    </row>
    <row r="46" spans="1:30" ht="16.5" customHeight="1">
      <c r="A46" s="18"/>
      <c r="B46" s="47"/>
      <c r="C46" s="48"/>
      <c r="D46" s="49"/>
      <c r="E46" s="108"/>
      <c r="F46" s="66"/>
      <c r="G46" s="109"/>
      <c r="H46" s="19"/>
      <c r="I46" s="19"/>
      <c r="J46" s="19"/>
      <c r="K46" s="99"/>
      <c r="M46" s="100"/>
      <c r="N46" s="107"/>
      <c r="O46" s="101"/>
      <c r="U46" s="72"/>
      <c r="AD46" s="12" t="b">
        <v>1</v>
      </c>
    </row>
    <row r="47" spans="1:30" ht="16.5" customHeight="1">
      <c r="A47" s="18"/>
      <c r="B47" s="164" t="s">
        <v>27</v>
      </c>
      <c r="C47" s="165"/>
      <c r="D47" s="42">
        <f>+F47*AL16</f>
        <v>12000</v>
      </c>
      <c r="E47" s="110" t="s">
        <v>28</v>
      </c>
      <c r="F47" s="111">
        <v>3000</v>
      </c>
      <c r="G47" s="109" t="s">
        <v>139</v>
      </c>
      <c r="H47" s="19"/>
      <c r="I47" s="179"/>
      <c r="J47" s="179"/>
      <c r="K47" s="25"/>
      <c r="T47" s="35"/>
      <c r="V47" s="78"/>
      <c r="AD47" s="12" t="b">
        <v>0</v>
      </c>
    </row>
    <row r="48" spans="1:22" ht="16.5" customHeight="1">
      <c r="A48" s="18"/>
      <c r="B48" s="62"/>
      <c r="C48" s="66"/>
      <c r="D48" s="42"/>
      <c r="E48" s="108"/>
      <c r="F48" s="66"/>
      <c r="G48" s="112"/>
      <c r="H48" s="19"/>
      <c r="I48" s="20"/>
      <c r="J48" s="113"/>
      <c r="K48" s="34"/>
      <c r="M48" s="170" t="s">
        <v>76</v>
      </c>
      <c r="N48" s="170" t="s">
        <v>77</v>
      </c>
      <c r="O48" s="170" t="s">
        <v>78</v>
      </c>
      <c r="P48" s="170" t="s">
        <v>91</v>
      </c>
      <c r="Q48" s="170" t="s">
        <v>83</v>
      </c>
      <c r="R48" s="170" t="s">
        <v>84</v>
      </c>
      <c r="T48" s="35"/>
      <c r="V48" s="45"/>
    </row>
    <row r="49" spans="1:22" ht="16.5" customHeight="1">
      <c r="A49" s="18"/>
      <c r="B49" s="164" t="s">
        <v>29</v>
      </c>
      <c r="C49" s="165"/>
      <c r="D49" s="114">
        <v>1200</v>
      </c>
      <c r="E49" s="110" t="s">
        <v>30</v>
      </c>
      <c r="F49" s="57">
        <f>+$D$47/$D49</f>
        <v>10</v>
      </c>
      <c r="G49" s="115" t="s">
        <v>31</v>
      </c>
      <c r="H49" s="19"/>
      <c r="I49" s="19"/>
      <c r="J49" s="19"/>
      <c r="K49" s="34"/>
      <c r="M49" s="170"/>
      <c r="N49" s="170"/>
      <c r="O49" s="170"/>
      <c r="P49" s="170"/>
      <c r="Q49" s="170"/>
      <c r="R49" s="170"/>
      <c r="V49" s="76"/>
    </row>
    <row r="50" spans="1:22" ht="16.5" customHeight="1">
      <c r="A50" s="18"/>
      <c r="B50" s="164" t="s">
        <v>32</v>
      </c>
      <c r="C50" s="165"/>
      <c r="D50" s="116">
        <v>20</v>
      </c>
      <c r="E50" s="110" t="s">
        <v>33</v>
      </c>
      <c r="F50" s="57">
        <f>+$D$47/($D50*D45)</f>
        <v>6</v>
      </c>
      <c r="G50" s="115" t="s">
        <v>31</v>
      </c>
      <c r="H50" s="19"/>
      <c r="I50" s="183" t="str">
        <f>CONCATENATE("Vida útil para ",D45," h/año")</f>
        <v>Vida útil para 100 h/año</v>
      </c>
      <c r="J50" s="184"/>
      <c r="K50" s="117"/>
      <c r="M50" s="45">
        <v>180</v>
      </c>
      <c r="N50" s="60">
        <v>75</v>
      </c>
      <c r="O50" s="60">
        <f aca="true" t="shared" si="0" ref="O50:O61">N50/100*M50</f>
        <v>135</v>
      </c>
      <c r="P50" s="51">
        <f aca="true" t="shared" si="1" ref="P50:P61">0.75*O50</f>
        <v>101.25</v>
      </c>
      <c r="Q50" s="61">
        <f aca="true" t="shared" si="2" ref="Q50:Q61">M$16+M$16*D$19/100</f>
        <v>9.6</v>
      </c>
      <c r="R50" s="51">
        <f aca="true" t="shared" si="3" ref="R50:R61">P50/(Q50*1.36)</f>
        <v>7.755055147058823</v>
      </c>
      <c r="V50" s="76"/>
    </row>
    <row r="51" spans="1:22" ht="16.5" customHeight="1">
      <c r="A51" s="18"/>
      <c r="B51" s="164" t="s">
        <v>34</v>
      </c>
      <c r="C51" s="165"/>
      <c r="D51" s="116">
        <v>5</v>
      </c>
      <c r="E51" s="110" t="s">
        <v>15</v>
      </c>
      <c r="F51" s="57">
        <f>+$D$47*0.006*$D51/D45</f>
        <v>3.6</v>
      </c>
      <c r="G51" s="115" t="s">
        <v>31</v>
      </c>
      <c r="H51" s="19"/>
      <c r="I51" s="118" t="s">
        <v>30</v>
      </c>
      <c r="J51" s="119">
        <f>+$D$47/($F$49+$F$50)</f>
        <v>750</v>
      </c>
      <c r="K51" s="25"/>
      <c r="M51" s="45">
        <v>180</v>
      </c>
      <c r="N51" s="60">
        <v>50</v>
      </c>
      <c r="O51" s="60">
        <f t="shared" si="0"/>
        <v>90</v>
      </c>
      <c r="P51" s="51">
        <f t="shared" si="1"/>
        <v>67.5</v>
      </c>
      <c r="Q51" s="61">
        <f t="shared" si="2"/>
        <v>9.6</v>
      </c>
      <c r="R51" s="51">
        <f t="shared" si="3"/>
        <v>5.170036764705882</v>
      </c>
      <c r="V51" s="76"/>
    </row>
    <row r="52" spans="1:22" ht="16.5" customHeight="1">
      <c r="A52" s="18"/>
      <c r="B52" s="164" t="s">
        <v>35</v>
      </c>
      <c r="C52" s="165"/>
      <c r="D52" s="116">
        <v>0.2</v>
      </c>
      <c r="E52" s="110" t="s">
        <v>36</v>
      </c>
      <c r="F52" s="57">
        <f>+$D$47*$D52/(100*D45)</f>
        <v>0.24</v>
      </c>
      <c r="G52" s="115" t="s">
        <v>31</v>
      </c>
      <c r="H52" s="19"/>
      <c r="I52" s="118" t="s">
        <v>33</v>
      </c>
      <c r="J52" s="120">
        <f>+$D$47/($D$45*($F$49+$F$50))</f>
        <v>7.5</v>
      </c>
      <c r="K52" s="25"/>
      <c r="M52" s="45">
        <v>180</v>
      </c>
      <c r="N52" s="60">
        <v>25</v>
      </c>
      <c r="O52" s="60">
        <f t="shared" si="0"/>
        <v>45</v>
      </c>
      <c r="P52" s="51">
        <f t="shared" si="1"/>
        <v>33.75</v>
      </c>
      <c r="Q52" s="61">
        <f t="shared" si="2"/>
        <v>9.6</v>
      </c>
      <c r="R52" s="51">
        <f t="shared" si="3"/>
        <v>2.585018382352941</v>
      </c>
      <c r="V52" s="76"/>
    </row>
    <row r="53" spans="1:19" ht="16.5" customHeight="1">
      <c r="A53" s="18"/>
      <c r="B53" s="164" t="s">
        <v>37</v>
      </c>
      <c r="C53" s="165"/>
      <c r="D53" s="116">
        <v>0.1</v>
      </c>
      <c r="E53" s="110" t="s">
        <v>36</v>
      </c>
      <c r="F53" s="57">
        <f>+$D$47*$D53/(D45*100)</f>
        <v>0.12</v>
      </c>
      <c r="G53" s="115" t="s">
        <v>31</v>
      </c>
      <c r="H53" s="19"/>
      <c r="I53" s="19"/>
      <c r="J53" s="121"/>
      <c r="K53" s="122"/>
      <c r="M53" s="45">
        <v>150</v>
      </c>
      <c r="N53" s="60">
        <v>75</v>
      </c>
      <c r="O53" s="60">
        <f t="shared" si="0"/>
        <v>112.5</v>
      </c>
      <c r="P53" s="51">
        <f t="shared" si="1"/>
        <v>84.375</v>
      </c>
      <c r="Q53" s="61">
        <f t="shared" si="2"/>
        <v>9.6</v>
      </c>
      <c r="R53" s="51">
        <f t="shared" si="3"/>
        <v>6.462545955882352</v>
      </c>
      <c r="S53" s="45"/>
    </row>
    <row r="54" spans="1:19" ht="16.5" customHeight="1" thickBot="1">
      <c r="A54" s="18"/>
      <c r="B54" s="203" t="s">
        <v>38</v>
      </c>
      <c r="C54" s="204"/>
      <c r="D54" s="123">
        <v>3.5</v>
      </c>
      <c r="E54" s="124" t="s">
        <v>39</v>
      </c>
      <c r="F54" s="125">
        <f>+D54/D26</f>
        <v>4.368</v>
      </c>
      <c r="G54" s="126" t="s">
        <v>31</v>
      </c>
      <c r="H54" s="19"/>
      <c r="I54" s="19"/>
      <c r="J54" s="19"/>
      <c r="K54" s="127"/>
      <c r="M54" s="45">
        <v>150</v>
      </c>
      <c r="N54" s="60">
        <v>50</v>
      </c>
      <c r="O54" s="60">
        <f t="shared" si="0"/>
        <v>75</v>
      </c>
      <c r="P54" s="51">
        <f t="shared" si="1"/>
        <v>56.25</v>
      </c>
      <c r="Q54" s="61">
        <f t="shared" si="2"/>
        <v>9.6</v>
      </c>
      <c r="R54" s="51">
        <f t="shared" si="3"/>
        <v>4.308363970588235</v>
      </c>
      <c r="S54" s="45"/>
    </row>
    <row r="55" spans="1:19" ht="16.5" customHeight="1" thickTop="1">
      <c r="A55" s="18"/>
      <c r="B55" s="85" t="s">
        <v>40</v>
      </c>
      <c r="C55" s="10"/>
      <c r="D55" s="108"/>
      <c r="E55" s="108"/>
      <c r="F55" s="57">
        <f>SUM(F49:F54)</f>
        <v>24.328000000000003</v>
      </c>
      <c r="G55" s="115" t="s">
        <v>31</v>
      </c>
      <c r="H55" s="19"/>
      <c r="I55" s="19"/>
      <c r="J55" s="19"/>
      <c r="K55" s="128"/>
      <c r="M55" s="45">
        <v>150</v>
      </c>
      <c r="N55" s="60">
        <v>25</v>
      </c>
      <c r="O55" s="60">
        <f t="shared" si="0"/>
        <v>37.5</v>
      </c>
      <c r="P55" s="51">
        <f t="shared" si="1"/>
        <v>28.125</v>
      </c>
      <c r="Q55" s="61">
        <f t="shared" si="2"/>
        <v>9.6</v>
      </c>
      <c r="R55" s="51">
        <f t="shared" si="3"/>
        <v>2.1541819852941173</v>
      </c>
      <c r="S55" s="45"/>
    </row>
    <row r="56" spans="1:18" ht="16.5" customHeight="1">
      <c r="A56" s="18"/>
      <c r="B56" s="129"/>
      <c r="C56" s="130"/>
      <c r="D56" s="131"/>
      <c r="E56" s="131"/>
      <c r="F56" s="132">
        <f>+F55*D26</f>
        <v>19.493589743589745</v>
      </c>
      <c r="G56" s="133" t="s">
        <v>39</v>
      </c>
      <c r="H56" s="19"/>
      <c r="I56" s="19"/>
      <c r="J56" s="19"/>
      <c r="K56" s="25"/>
      <c r="M56" s="45">
        <v>120</v>
      </c>
      <c r="N56" s="60">
        <v>75</v>
      </c>
      <c r="O56" s="60">
        <f t="shared" si="0"/>
        <v>90</v>
      </c>
      <c r="P56" s="51">
        <f t="shared" si="1"/>
        <v>67.5</v>
      </c>
      <c r="Q56" s="61">
        <f t="shared" si="2"/>
        <v>9.6</v>
      </c>
      <c r="R56" s="51">
        <f t="shared" si="3"/>
        <v>5.170036764705882</v>
      </c>
    </row>
    <row r="57" spans="1:18" ht="16.5" customHeight="1">
      <c r="A57" s="18"/>
      <c r="B57" s="19"/>
      <c r="C57" s="19"/>
      <c r="D57" s="22"/>
      <c r="E57" s="22"/>
      <c r="F57" s="19"/>
      <c r="G57" s="24"/>
      <c r="H57" s="19"/>
      <c r="I57" s="19"/>
      <c r="J57" s="19"/>
      <c r="K57" s="25"/>
      <c r="M57" s="45">
        <v>120</v>
      </c>
      <c r="N57" s="60">
        <v>50</v>
      </c>
      <c r="O57" s="60">
        <f t="shared" si="0"/>
        <v>60</v>
      </c>
      <c r="P57" s="51">
        <f t="shared" si="1"/>
        <v>45</v>
      </c>
      <c r="Q57" s="61">
        <f t="shared" si="2"/>
        <v>9.6</v>
      </c>
      <c r="R57" s="51">
        <f>P57/(Q57*1.36)</f>
        <v>3.446691176470588</v>
      </c>
    </row>
    <row r="58" spans="1:18" ht="16.5" customHeight="1">
      <c r="A58" s="18"/>
      <c r="B58" s="180" t="s">
        <v>42</v>
      </c>
      <c r="C58" s="180"/>
      <c r="D58" s="180"/>
      <c r="E58" s="189" t="s">
        <v>112</v>
      </c>
      <c r="F58" s="189"/>
      <c r="G58" s="134"/>
      <c r="H58" s="19"/>
      <c r="I58" s="19"/>
      <c r="J58" s="19"/>
      <c r="K58" s="25"/>
      <c r="M58" s="45">
        <v>120</v>
      </c>
      <c r="N58" s="60">
        <v>25</v>
      </c>
      <c r="O58" s="60">
        <f t="shared" si="0"/>
        <v>30</v>
      </c>
      <c r="P58" s="51">
        <f t="shared" si="1"/>
        <v>22.5</v>
      </c>
      <c r="Q58" s="61">
        <f t="shared" si="2"/>
        <v>9.6</v>
      </c>
      <c r="R58" s="51">
        <f t="shared" si="3"/>
        <v>1.723345588235294</v>
      </c>
    </row>
    <row r="59" spans="1:18" ht="16.5" customHeight="1">
      <c r="A59" s="18"/>
      <c r="B59" s="199" t="s">
        <v>97</v>
      </c>
      <c r="C59" s="200"/>
      <c r="D59" s="135" t="s">
        <v>98</v>
      </c>
      <c r="E59" s="136" t="s">
        <v>31</v>
      </c>
      <c r="F59" s="136" t="s">
        <v>39</v>
      </c>
      <c r="G59" s="134"/>
      <c r="H59" s="19"/>
      <c r="I59" s="194" t="s">
        <v>119</v>
      </c>
      <c r="J59" s="194"/>
      <c r="K59" s="25"/>
      <c r="M59" s="45">
        <v>90</v>
      </c>
      <c r="N59" s="60">
        <v>75</v>
      </c>
      <c r="O59" s="60">
        <f t="shared" si="0"/>
        <v>67.5</v>
      </c>
      <c r="P59" s="51">
        <f t="shared" si="1"/>
        <v>50.625</v>
      </c>
      <c r="Q59" s="61">
        <f t="shared" si="2"/>
        <v>9.6</v>
      </c>
      <c r="R59" s="51">
        <f t="shared" si="3"/>
        <v>3.8775275735294117</v>
      </c>
    </row>
    <row r="60" spans="1:18" ht="16.5" customHeight="1">
      <c r="A60" s="18"/>
      <c r="B60" s="40"/>
      <c r="C60" s="40" t="s">
        <v>99</v>
      </c>
      <c r="D60" s="137">
        <f>R39</f>
        <v>14.967058823529412</v>
      </c>
      <c r="E60" s="138">
        <f>IF(AD67=TRUE,D60+D41,D60*0)</f>
        <v>28.20235294117647</v>
      </c>
      <c r="F60" s="139">
        <f>E60*$D$26</f>
        <v>22.598039215686274</v>
      </c>
      <c r="G60" s="140">
        <f>IF(AD67=TRUE,F60,F60*0)</f>
        <v>22.598039215686274</v>
      </c>
      <c r="H60" s="38"/>
      <c r="I60" s="141">
        <v>560</v>
      </c>
      <c r="J60" s="55" t="s">
        <v>120</v>
      </c>
      <c r="K60" s="25"/>
      <c r="M60" s="45">
        <v>90</v>
      </c>
      <c r="N60" s="60">
        <v>50</v>
      </c>
      <c r="O60" s="60">
        <f t="shared" si="0"/>
        <v>45</v>
      </c>
      <c r="P60" s="51">
        <f t="shared" si="1"/>
        <v>33.75</v>
      </c>
      <c r="Q60" s="61">
        <f t="shared" si="2"/>
        <v>9.6</v>
      </c>
      <c r="R60" s="51">
        <f t="shared" si="3"/>
        <v>2.585018382352941</v>
      </c>
    </row>
    <row r="61" spans="1:18" ht="16.5" customHeight="1">
      <c r="A61" s="18"/>
      <c r="B61" s="40"/>
      <c r="C61" s="40" t="s">
        <v>100</v>
      </c>
      <c r="D61" s="137">
        <f>R40</f>
        <v>10.865882352941176</v>
      </c>
      <c r="E61" s="138">
        <f>IF(AD68=TRUE,D61+D41,D61*0)</f>
        <v>0</v>
      </c>
      <c r="F61" s="139">
        <f>E61*$D$26</f>
        <v>0</v>
      </c>
      <c r="G61" s="140">
        <f>IF(AD68=TRUE,F61,F61*0)</f>
        <v>0</v>
      </c>
      <c r="H61" s="38"/>
      <c r="I61" s="19"/>
      <c r="J61" s="19"/>
      <c r="K61" s="25"/>
      <c r="M61" s="45">
        <v>90</v>
      </c>
      <c r="N61" s="60">
        <v>25</v>
      </c>
      <c r="O61" s="60">
        <f t="shared" si="0"/>
        <v>22.5</v>
      </c>
      <c r="P61" s="51">
        <f t="shared" si="1"/>
        <v>16.875</v>
      </c>
      <c r="Q61" s="61">
        <f t="shared" si="2"/>
        <v>9.6</v>
      </c>
      <c r="R61" s="51">
        <f t="shared" si="3"/>
        <v>1.2925091911764706</v>
      </c>
    </row>
    <row r="62" spans="1:11" ht="16.5" customHeight="1">
      <c r="A62" s="18"/>
      <c r="B62" s="19"/>
      <c r="C62" s="142"/>
      <c r="D62" s="22"/>
      <c r="E62" s="20"/>
      <c r="F62" s="143"/>
      <c r="G62" s="144"/>
      <c r="H62" s="38"/>
      <c r="I62" s="19"/>
      <c r="J62" s="19"/>
      <c r="K62" s="25"/>
    </row>
    <row r="63" spans="1:11" ht="16.5" customHeight="1">
      <c r="A63" s="18"/>
      <c r="B63" s="190" t="s">
        <v>113</v>
      </c>
      <c r="C63" s="191"/>
      <c r="D63" s="192"/>
      <c r="E63" s="193" t="s">
        <v>40</v>
      </c>
      <c r="F63" s="193"/>
      <c r="G63" s="144"/>
      <c r="H63" s="38"/>
      <c r="I63" s="19"/>
      <c r="J63" s="19"/>
      <c r="K63" s="25"/>
    </row>
    <row r="64" spans="1:11" ht="16.5" customHeight="1">
      <c r="A64" s="18"/>
      <c r="B64" s="199" t="s">
        <v>97</v>
      </c>
      <c r="C64" s="200"/>
      <c r="D64" s="145" t="s">
        <v>41</v>
      </c>
      <c r="E64" s="195" t="s">
        <v>39</v>
      </c>
      <c r="F64" s="196"/>
      <c r="G64" s="146"/>
      <c r="H64" s="38"/>
      <c r="I64" s="19"/>
      <c r="J64" s="19"/>
      <c r="K64" s="25"/>
    </row>
    <row r="65" spans="1:11" ht="16.5" customHeight="1">
      <c r="A65" s="18"/>
      <c r="B65" s="40"/>
      <c r="C65" s="147" t="str">
        <f>IF(D45=J44,"Baja","Alta")</f>
        <v>Baja</v>
      </c>
      <c r="D65" s="148">
        <f>D27*D45</f>
        <v>124.80000000000003</v>
      </c>
      <c r="E65" s="187">
        <f>+F56+$G$60+$G$61</f>
        <v>42.09162895927602</v>
      </c>
      <c r="F65" s="188" t="e">
        <f>$D$25*($D$46/$D$48)+$D$46/($D$49*D65*$D$25)+(($D$46*0.006*$D$50)/(D65*$D$25))+$D$46*($D$51+$D$52)/(100*D65*$D$25)+($D$53/$D$25)+$D$71</f>
        <v>#DIV/0!</v>
      </c>
      <c r="G65" s="149"/>
      <c r="H65" s="19"/>
      <c r="I65" s="19"/>
      <c r="J65" s="19"/>
      <c r="K65" s="25"/>
    </row>
    <row r="66" spans="1:11" ht="16.5" customHeight="1">
      <c r="A66" s="18"/>
      <c r="B66" s="19"/>
      <c r="C66" s="19"/>
      <c r="D66" s="22"/>
      <c r="E66" s="22"/>
      <c r="F66" s="19"/>
      <c r="G66" s="24"/>
      <c r="H66" s="19"/>
      <c r="I66" s="19"/>
      <c r="J66" s="19"/>
      <c r="K66" s="25"/>
    </row>
    <row r="67" spans="1:30" ht="16.5" customHeight="1">
      <c r="A67" s="18"/>
      <c r="B67" s="19"/>
      <c r="C67" s="142"/>
      <c r="D67" s="22"/>
      <c r="E67" s="20"/>
      <c r="F67" s="150"/>
      <c r="G67" s="151"/>
      <c r="H67" s="19"/>
      <c r="I67" s="19"/>
      <c r="J67" s="19"/>
      <c r="K67" s="25"/>
      <c r="AD67" s="12" t="b">
        <v>1</v>
      </c>
    </row>
    <row r="68" spans="1:30" ht="16.5" customHeight="1">
      <c r="A68" s="152"/>
      <c r="B68" s="31"/>
      <c r="C68" s="31"/>
      <c r="D68" s="153"/>
      <c r="E68" s="153"/>
      <c r="F68" s="31"/>
      <c r="G68" s="154"/>
      <c r="H68" s="31"/>
      <c r="I68" s="31"/>
      <c r="J68" s="31"/>
      <c r="K68" s="155"/>
      <c r="AD68" s="12" t="b">
        <v>0</v>
      </c>
    </row>
    <row r="69" spans="3:11" ht="16.5" customHeight="1">
      <c r="C69" s="156"/>
      <c r="D69" s="157"/>
      <c r="F69" s="158"/>
      <c r="G69" s="159"/>
      <c r="K69" s="160"/>
    </row>
    <row r="70" spans="4:11" ht="16.5" customHeight="1">
      <c r="D70" s="157"/>
      <c r="F70" s="158"/>
      <c r="G70" s="159"/>
      <c r="K70" s="160"/>
    </row>
    <row r="71" ht="16.5" customHeight="1">
      <c r="D71" s="157"/>
    </row>
    <row r="72" spans="4:30" ht="16.5" customHeight="1">
      <c r="D72" s="157"/>
      <c r="AD72" s="12" t="b">
        <v>1</v>
      </c>
    </row>
    <row r="73" spans="3:30" ht="16.5" customHeight="1">
      <c r="C73" s="161"/>
      <c r="D73" s="157"/>
      <c r="E73" s="162"/>
      <c r="F73" s="158"/>
      <c r="G73" s="159"/>
      <c r="AD73" s="12" t="b">
        <v>1</v>
      </c>
    </row>
    <row r="74" spans="4:7" ht="16.5" customHeight="1">
      <c r="D74" s="157"/>
      <c r="E74" s="162"/>
      <c r="F74" s="158"/>
      <c r="G74" s="159"/>
    </row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</sheetData>
  <sheetProtection/>
  <mergeCells count="60">
    <mergeCell ref="B52:C52"/>
    <mergeCell ref="B35:C35"/>
    <mergeCell ref="B36:C36"/>
    <mergeCell ref="B64:C64"/>
    <mergeCell ref="B59:C59"/>
    <mergeCell ref="B44:C44"/>
    <mergeCell ref="B53:C53"/>
    <mergeCell ref="B54:C54"/>
    <mergeCell ref="E65:F65"/>
    <mergeCell ref="E58:F58"/>
    <mergeCell ref="B63:D63"/>
    <mergeCell ref="E63:F63"/>
    <mergeCell ref="I59:J59"/>
    <mergeCell ref="E64:F64"/>
    <mergeCell ref="B25:C25"/>
    <mergeCell ref="B33:C33"/>
    <mergeCell ref="B19:C19"/>
    <mergeCell ref="B20:C20"/>
    <mergeCell ref="B24:C24"/>
    <mergeCell ref="B30:C30"/>
    <mergeCell ref="B58:D58"/>
    <mergeCell ref="I12:J12"/>
    <mergeCell ref="I17:J17"/>
    <mergeCell ref="B15:C15"/>
    <mergeCell ref="B26:C26"/>
    <mergeCell ref="B29:C29"/>
    <mergeCell ref="B38:C38"/>
    <mergeCell ref="I50:J50"/>
    <mergeCell ref="B17:C17"/>
    <mergeCell ref="B18:C18"/>
    <mergeCell ref="M12:O14"/>
    <mergeCell ref="B13:C13"/>
    <mergeCell ref="B14:C14"/>
    <mergeCell ref="B12:C12"/>
    <mergeCell ref="I22:J22"/>
    <mergeCell ref="B22:C22"/>
    <mergeCell ref="B51:C51"/>
    <mergeCell ref="I43:J43"/>
    <mergeCell ref="I28:J28"/>
    <mergeCell ref="B45:C45"/>
    <mergeCell ref="I47:J47"/>
    <mergeCell ref="B47:C47"/>
    <mergeCell ref="B32:C32"/>
    <mergeCell ref="M34:O34"/>
    <mergeCell ref="M35:M36"/>
    <mergeCell ref="M37:M38"/>
    <mergeCell ref="M39:M40"/>
    <mergeCell ref="O48:O49"/>
    <mergeCell ref="B49:C49"/>
    <mergeCell ref="B40:C40"/>
    <mergeCell ref="M29:N29"/>
    <mergeCell ref="B50:C50"/>
    <mergeCell ref="Q36:R37"/>
    <mergeCell ref="M9:N9"/>
    <mergeCell ref="M25:N26"/>
    <mergeCell ref="M48:M49"/>
    <mergeCell ref="Q48:Q49"/>
    <mergeCell ref="R48:R49"/>
    <mergeCell ref="P48:P49"/>
    <mergeCell ref="N48:N49"/>
  </mergeCells>
  <conditionalFormatting sqref="J23:J26 N15">
    <cfRule type="cellIs" priority="1" dxfId="0" operator="equal" stopIfTrue="1">
      <formula>$D$33</formula>
    </cfRule>
  </conditionalFormatting>
  <conditionalFormatting sqref="M15:M16">
    <cfRule type="cellIs" priority="2" dxfId="0" operator="equal" stopIfTrue="1">
      <formula>#REF!</formula>
    </cfRule>
  </conditionalFormatting>
  <conditionalFormatting sqref="J13:J15">
    <cfRule type="cellIs" priority="3" dxfId="0" operator="equal" stopIfTrue="1">
      <formula>$D$25</formula>
    </cfRule>
  </conditionalFormatting>
  <conditionalFormatting sqref="J18:J20">
    <cfRule type="cellIs" priority="4" dxfId="0" operator="equal" stopIfTrue="1">
      <formula>$D$29</formula>
    </cfRule>
  </conditionalFormatting>
  <conditionalFormatting sqref="C60">
    <cfRule type="expression" priority="5" dxfId="0" stopIfTrue="1">
      <formula>$G$60&gt;0</formula>
    </cfRule>
  </conditionalFormatting>
  <conditionalFormatting sqref="C61">
    <cfRule type="expression" priority="6" dxfId="0" stopIfTrue="1">
      <formula>$G$61&gt;0</formula>
    </cfRule>
  </conditionalFormatting>
  <conditionalFormatting sqref="J30">
    <cfRule type="expression" priority="7" dxfId="0" stopIfTrue="1">
      <formula>$D$29=25</formula>
    </cfRule>
  </conditionalFormatting>
  <conditionalFormatting sqref="J31">
    <cfRule type="expression" priority="8" dxfId="0" stopIfTrue="1">
      <formula>$D$29=50</formula>
    </cfRule>
  </conditionalFormatting>
  <conditionalFormatting sqref="J32">
    <cfRule type="expression" priority="9" dxfId="0" stopIfTrue="1">
      <formula>$D$29=75</formula>
    </cfRule>
  </conditionalFormatting>
  <conditionalFormatting sqref="J44:J45">
    <cfRule type="cellIs" priority="10" dxfId="0" operator="equal" stopIfTrue="1">
      <formula>$D$45</formula>
    </cfRule>
  </conditionalFormatting>
  <printOptions horizontalCentered="1"/>
  <pageMargins left="0.3937007874015748" right="0.3937007874015748" top="0.7874015748031497" bottom="0.7874015748031497" header="0.3937007874015748" footer="0.3937007874015748"/>
  <pageSetup fitToHeight="1" fitToWidth="1" horizontalDpi="1200" verticalDpi="1200" orientation="portrait" paperSize="9" scale="64" r:id="rId2"/>
  <ignoredErrors>
    <ignoredError sqref="D14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R30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80.00390625" style="3" customWidth="1"/>
  </cols>
  <sheetData>
    <row r="1" s="1" customFormat="1" ht="96.75" customHeight="1">
      <c r="A1" s="4"/>
    </row>
    <row r="2" spans="1:18" ht="12.75">
      <c r="A2" s="5" t="s">
        <v>114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2.75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2.75">
      <c r="A4" s="4" t="s">
        <v>115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2.75">
      <c r="A5" s="4" t="s">
        <v>121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2.75">
      <c r="A6" s="4" t="s">
        <v>122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28.5" customHeight="1">
      <c r="A7" s="4" t="s">
        <v>123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2.75">
      <c r="A8" s="4" t="s">
        <v>124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28.5" customHeight="1">
      <c r="A9" s="4" t="s">
        <v>125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28.5" customHeight="1">
      <c r="A10" s="4" t="s">
        <v>126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28.5" customHeight="1">
      <c r="A11" s="4" t="s">
        <v>127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28.5" customHeight="1">
      <c r="A12" s="4" t="s">
        <v>128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42.75" customHeight="1">
      <c r="A13" s="4" t="s">
        <v>129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28.5" customHeight="1">
      <c r="A14" s="4" t="s">
        <v>130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28.5" customHeight="1">
      <c r="A15" s="4" t="s">
        <v>131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2.75">
      <c r="A16" s="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2.75">
      <c r="A17" s="4" t="s">
        <v>116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2.75">
      <c r="A18" s="4" t="s">
        <v>138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28.5" customHeight="1">
      <c r="A19" s="4" t="s">
        <v>132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28.5" customHeight="1">
      <c r="A20" s="4" t="s">
        <v>140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2.75">
      <c r="A21" s="4" t="s">
        <v>133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2.75">
      <c r="A22" s="4" t="s">
        <v>134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2.75">
      <c r="A23" s="6" t="s">
        <v>142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2.75">
      <c r="A24" s="4" t="s">
        <v>135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2.75">
      <c r="A25" s="4" t="s">
        <v>136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2.75">
      <c r="A26" s="4" t="s">
        <v>141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28.5" customHeight="1">
      <c r="A27" s="4" t="s">
        <v>137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28.5" customHeight="1">
      <c r="A28" s="4" t="s">
        <v>117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2.75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2.75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</sheetData>
  <sheetProtection/>
  <printOptions horizontalCentered="1"/>
  <pageMargins left="0.7874015748031497" right="0.7874015748031497" top="0.984251968503937" bottom="0.98425196850393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Ninguna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</dc:creator>
  <cp:keywords/>
  <dc:description/>
  <cp:lastModifiedBy>LM</cp:lastModifiedBy>
  <cp:lastPrinted>2008-09-11T07:48:37Z</cp:lastPrinted>
  <dcterms:created xsi:type="dcterms:W3CDTF">2006-04-10T08:55:06Z</dcterms:created>
  <dcterms:modified xsi:type="dcterms:W3CDTF">2014-06-27T08:08:14Z</dcterms:modified>
  <cp:category/>
  <cp:version/>
  <cp:contentType/>
  <cp:contentStatus/>
</cp:coreProperties>
</file>