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Empacadora clásica" sheetId="1" r:id="rId1"/>
    <sheet name="Metodología" sheetId="2" r:id="rId2"/>
  </sheets>
  <definedNames>
    <definedName name="_xlnm.Print_Area" localSheetId="0">'Empacadora clásica'!$A$1:$K$66</definedName>
    <definedName name="_xlnm.Print_Area" localSheetId="1">'Metodología'!$A$1:$A$29</definedName>
  </definedNames>
  <calcPr fullCalcOnLoad="1"/>
</workbook>
</file>

<file path=xl/sharedStrings.xml><?xml version="1.0" encoding="utf-8"?>
<sst xmlns="http://schemas.openxmlformats.org/spreadsheetml/2006/main" count="178" uniqueCount="131">
  <si>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</si>
  <si>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</si>
  <si>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</si>
  <si>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</si>
  <si>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</si>
  <si>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</si>
  <si>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</si>
  <si>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</si>
  <si>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</si>
  <si>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</si>
  <si>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</si>
  <si>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</si>
  <si>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CV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</si>
  <si>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</si>
  <si>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</si>
  <si>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</si>
  <si>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</si>
  <si>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</si>
  <si>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</si>
  <si>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</si>
  <si>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</si>
  <si>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</si>
  <si>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</si>
  <si>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</si>
  <si>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</si>
  <si>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</si>
  <si>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</si>
  <si>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</si>
  <si>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</si>
  <si>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</si>
  <si>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</si>
  <si>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</si>
  <si>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</si>
  <si>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</si>
  <si>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</si>
  <si>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</si>
  <si>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</si>
  <si>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</si>
  <si>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</si>
  <si>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</si>
  <si>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</si>
  <si>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</si>
  <si>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</si>
  <si>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</si>
  <si>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</si>
  <si>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</si>
  <si>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</si>
  <si>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</si>
  <si>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</si>
  <si>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</si>
  <si>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</si>
  <si>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</si>
  <si>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</si>
  <si>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</si>
  <si>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</si>
  <si>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</si>
  <si>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</si>
  <si>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</si>
  <si>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</si>
  <si>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</si>
  <si>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</si>
  <si>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</si>
  <si>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</si>
  <si>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</si>
  <si>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</si>
  <si>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Empacado</t>
  </si>
  <si>
    <t>ASAE baler, large round (fix. Chamber)</t>
  </si>
  <si>
    <t>empacadora (conven)</t>
  </si>
  <si>
    <t>cap.trab. alta</t>
  </si>
  <si>
    <t>cap.trab. normal</t>
  </si>
  <si>
    <t>10 L/ha</t>
  </si>
  <si>
    <t>5,5 L/ha</t>
  </si>
  <si>
    <t>Producción</t>
  </si>
  <si>
    <t>t/ha</t>
  </si>
  <si>
    <t>Separación cordones</t>
  </si>
  <si>
    <t>Capacidad de procesado</t>
  </si>
  <si>
    <t>t/h</t>
  </si>
  <si>
    <t>Pot (kW)</t>
  </si>
  <si>
    <t>FICHA TEC rotoempacadora pequeña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</si>
  <si>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</si>
  <si>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</si>
  <si>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</si>
  <si>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</si>
  <si>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</si>
  <si>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</si>
  <si>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</si>
  <si>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</si>
  <si>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</si>
  <si>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</si>
  <si>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</si>
  <si>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</si>
  <si>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</si>
  <si>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</si>
  <si>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</si>
  <si>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</si>
  <si>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</si>
  <si>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</si>
  <si>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</si>
  <si>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</si>
  <si>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</si>
  <si>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</si>
  <si>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</si>
  <si>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</si>
  <si>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Empacadora convencional de pacas prismáticas pequeñas</t>
  </si>
  <si>
    <t>Empacadora convencional (pacas prismáticas pequeñas)</t>
  </si>
  <si>
    <t>Producción parcela (t/ha)</t>
  </si>
  <si>
    <t>Capacidad máquina (t/h)</t>
  </si>
  <si>
    <t>CEMAG ramasseuse-preese lourd</t>
  </si>
  <si>
    <t>45-50 kW</t>
  </si>
  <si>
    <t>Pot. necesaria (Fabricantes)</t>
  </si>
  <si>
    <t>Velocidad máxima (capac.)</t>
  </si>
  <si>
    <t xml:space="preserve">-          Peso del apero: Estimado en 2.000 kg 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</si>
  <si>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</si>
  <si>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alto para esta operación)</t>
  </si>
  <si>
    <t>-          Potencia necesaria: Tomada como media de la potencia de las máquinas que existen en el mercado.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</si>
  <si>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</si>
  <si>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</si>
  <si>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</si>
  <si>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Precio de adquisición: Estimado en 15.000 €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</si>
  <si>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</si>
  <si>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</si>
  <si>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</si>
  <si>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</si>
  <si>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</si>
  <si>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Mantenimiento y reparaciones: 10,0 €/ha</t>
  </si>
  <si>
    <t>-          Producción: Alta (6 t/ha), media (4 t/ha) y baja (2 t/ha); se puede modificar</t>
  </si>
  <si>
    <t>-          Separación entre cordones: ajustable en intervalos de 0,5 m</t>
  </si>
  <si>
    <t>-          Velocidad máxima de trabajo: calculada en función de la capacidad de procesado de la máquina. Sirve de referencia para elegir la velocidad de trabajo utilizando el selector adjunto (escalones de 0,5 km/h)</t>
  </si>
  <si>
    <t>-          Coste de combustible: 1,00 €/L</t>
  </si>
  <si>
    <t xml:space="preserve">-          Amortización por desgaste: 1.000 h </t>
  </si>
  <si>
    <t>-          Interés: 5 %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</si>
</sst>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  <numFmt numFmtId="180" formatCode="0.0000000"/>
    <numFmt numFmtId="181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1" fontId="11" fillId="34" borderId="0" xfId="0" applyNumberFormat="1" applyFont="1" applyFill="1" applyBorder="1" applyAlignment="1" applyProtection="1">
      <alignment horizontal="center"/>
      <protection hidden="1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hidden="1" locked="0"/>
    </xf>
    <xf numFmtId="0" fontId="8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2" fontId="17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4" fontId="17" fillId="33" borderId="0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164" fontId="17" fillId="33" borderId="16" xfId="0" applyNumberFormat="1" applyFont="1" applyFill="1" applyBorder="1" applyAlignment="1" applyProtection="1">
      <alignment horizontal="center"/>
      <protection hidden="1"/>
    </xf>
    <xf numFmtId="0" fontId="16" fillId="33" borderId="17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13" fillId="0" borderId="15" xfId="0" applyNumberFormat="1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164" fontId="13" fillId="33" borderId="20" xfId="0" applyNumberFormat="1" applyFont="1" applyFill="1" applyBorder="1" applyAlignment="1" applyProtection="1">
      <alignment horizontal="center"/>
      <protection hidden="1" locked="0"/>
    </xf>
    <xf numFmtId="0" fontId="8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0" fontId="6" fillId="33" borderId="22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3" fontId="8" fillId="34" borderId="14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10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33" borderId="2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2" fontId="15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38" borderId="15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9.emf" /><Relationship Id="rId3" Type="http://schemas.openxmlformats.org/officeDocument/2006/relationships/image" Target="../media/image2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18.emf" /><Relationship Id="rId8" Type="http://schemas.openxmlformats.org/officeDocument/2006/relationships/image" Target="../media/image9.emf" /><Relationship Id="rId9" Type="http://schemas.openxmlformats.org/officeDocument/2006/relationships/image" Target="../media/image14.emf" /><Relationship Id="rId10" Type="http://schemas.openxmlformats.org/officeDocument/2006/relationships/image" Target="../media/image4.emf" /><Relationship Id="rId11" Type="http://schemas.openxmlformats.org/officeDocument/2006/relationships/image" Target="../media/image8.emf" /><Relationship Id="rId12" Type="http://schemas.openxmlformats.org/officeDocument/2006/relationships/image" Target="../media/image23.emf" /><Relationship Id="rId13" Type="http://schemas.openxmlformats.org/officeDocument/2006/relationships/image" Target="../media/image6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2.emf" /><Relationship Id="rId17" Type="http://schemas.openxmlformats.org/officeDocument/2006/relationships/image" Target="../media/image21.emf" /><Relationship Id="rId18" Type="http://schemas.openxmlformats.org/officeDocument/2006/relationships/image" Target="../media/image15.emf" /><Relationship Id="rId19" Type="http://schemas.openxmlformats.org/officeDocument/2006/relationships/image" Target="../media/image11.emf" /><Relationship Id="rId20" Type="http://schemas.openxmlformats.org/officeDocument/2006/relationships/image" Target="../media/image3.emf" /><Relationship Id="rId21" Type="http://schemas.openxmlformats.org/officeDocument/2006/relationships/image" Target="../media/image2.emf" /><Relationship Id="rId2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7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38100</xdr:rowOff>
    </xdr:from>
    <xdr:to>
      <xdr:col>7</xdr:col>
      <xdr:colOff>247650</xdr:colOff>
      <xdr:row>24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305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47625</xdr:rowOff>
    </xdr:from>
    <xdr:to>
      <xdr:col>7</xdr:col>
      <xdr:colOff>247650</xdr:colOff>
      <xdr:row>25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514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38100</xdr:rowOff>
    </xdr:from>
    <xdr:to>
      <xdr:col>7</xdr:col>
      <xdr:colOff>247650</xdr:colOff>
      <xdr:row>26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4705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28</xdr:row>
      <xdr:rowOff>38100</xdr:rowOff>
    </xdr:from>
    <xdr:to>
      <xdr:col>7</xdr:col>
      <xdr:colOff>247650</xdr:colOff>
      <xdr:row>29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5305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</xdr:row>
      <xdr:rowOff>19050</xdr:rowOff>
    </xdr:from>
    <xdr:to>
      <xdr:col>7</xdr:col>
      <xdr:colOff>247650</xdr:colOff>
      <xdr:row>29</xdr:row>
      <xdr:rowOff>161925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548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247650</xdr:colOff>
      <xdr:row>30</xdr:row>
      <xdr:rowOff>171450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569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23050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28575</xdr:rowOff>
    </xdr:from>
    <xdr:to>
      <xdr:col>7</xdr:col>
      <xdr:colOff>219075</xdr:colOff>
      <xdr:row>16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26955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18</xdr:row>
      <xdr:rowOff>38100</xdr:rowOff>
    </xdr:from>
    <xdr:to>
      <xdr:col>7</xdr:col>
      <xdr:colOff>238125</xdr:colOff>
      <xdr:row>19</xdr:row>
      <xdr:rowOff>19050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3305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219075</xdr:colOff>
      <xdr:row>20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34956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14</xdr:row>
      <xdr:rowOff>38100</xdr:rowOff>
    </xdr:from>
    <xdr:to>
      <xdr:col>7</xdr:col>
      <xdr:colOff>238125</xdr:colOff>
      <xdr:row>15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2505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33</xdr:row>
      <xdr:rowOff>19050</xdr:rowOff>
    </xdr:from>
    <xdr:to>
      <xdr:col>7</xdr:col>
      <xdr:colOff>228600</xdr:colOff>
      <xdr:row>34</xdr:row>
      <xdr:rowOff>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5325" y="6286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34</xdr:row>
      <xdr:rowOff>19050</xdr:rowOff>
    </xdr:from>
    <xdr:to>
      <xdr:col>7</xdr:col>
      <xdr:colOff>228600</xdr:colOff>
      <xdr:row>35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05325" y="6486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35</xdr:row>
      <xdr:rowOff>19050</xdr:rowOff>
    </xdr:from>
    <xdr:to>
      <xdr:col>7</xdr:col>
      <xdr:colOff>228600</xdr:colOff>
      <xdr:row>36</xdr:row>
      <xdr:rowOff>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05325" y="6686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36</xdr:row>
      <xdr:rowOff>19050</xdr:rowOff>
    </xdr:from>
    <xdr:to>
      <xdr:col>7</xdr:col>
      <xdr:colOff>228600</xdr:colOff>
      <xdr:row>37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05325" y="688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28575</xdr:rowOff>
    </xdr:from>
    <xdr:to>
      <xdr:col>1</xdr:col>
      <xdr:colOff>238125</xdr:colOff>
      <xdr:row>58</xdr:row>
      <xdr:rowOff>9525</xdr:rowOff>
    </xdr:to>
    <xdr:pic>
      <xdr:nvPicPr>
        <xdr:cNvPr id="17" name="Option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11096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238125</xdr:colOff>
      <xdr:row>59</xdr:row>
      <xdr:rowOff>9525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1296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19050</xdr:rowOff>
    </xdr:from>
    <xdr:to>
      <xdr:col>7</xdr:col>
      <xdr:colOff>238125</xdr:colOff>
      <xdr:row>46</xdr:row>
      <xdr:rowOff>9525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14850" y="8686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28575</xdr:rowOff>
    </xdr:from>
    <xdr:to>
      <xdr:col>7</xdr:col>
      <xdr:colOff>238125</xdr:colOff>
      <xdr:row>47</xdr:row>
      <xdr:rowOff>9525</xdr:rowOff>
    </xdr:to>
    <xdr:pic>
      <xdr:nvPicPr>
        <xdr:cNvPr id="20" name="OptionButton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8896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28575</xdr:rowOff>
    </xdr:from>
    <xdr:to>
      <xdr:col>7</xdr:col>
      <xdr:colOff>219075</xdr:colOff>
      <xdr:row>21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05325" y="36957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1123950</xdr:colOff>
      <xdr:row>12</xdr:row>
      <xdr:rowOff>19050</xdr:rowOff>
    </xdr:from>
    <xdr:to>
      <xdr:col>3</xdr:col>
      <xdr:colOff>152400</xdr:colOff>
      <xdr:row>12</xdr:row>
      <xdr:rowOff>161925</xdr:rowOff>
    </xdr:to>
    <xdr:pic>
      <xdr:nvPicPr>
        <xdr:cNvPr id="22" name="Spi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0859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14</xdr:row>
      <xdr:rowOff>38100</xdr:rowOff>
    </xdr:from>
    <xdr:to>
      <xdr:col>3</xdr:col>
      <xdr:colOff>152400</xdr:colOff>
      <xdr:row>14</xdr:row>
      <xdr:rowOff>180975</xdr:rowOff>
    </xdr:to>
    <xdr:pic>
      <xdr:nvPicPr>
        <xdr:cNvPr id="23" name="Spi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25050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1</xdr:row>
      <xdr:rowOff>152400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AD82"/>
  <sheetViews>
    <sheetView showZeros="0" tabSelected="1" zoomScalePageLayoutView="0" workbookViewId="0" topLeftCell="A4">
      <selection activeCell="A8" sqref="A8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2.8515625" style="8" customWidth="1"/>
    <col min="4" max="4" width="13.00390625" style="9" customWidth="1"/>
    <col min="5" max="5" width="9.140625" style="9" customWidth="1"/>
    <col min="6" max="6" width="7.28125" style="8" customWidth="1"/>
    <col min="7" max="7" width="5.421875" style="10" customWidth="1"/>
    <col min="8" max="8" width="5.57421875" style="8" customWidth="1"/>
    <col min="9" max="9" width="13.28125" style="8" customWidth="1"/>
    <col min="10" max="10" width="19.28125" style="8" customWidth="1"/>
    <col min="11" max="11" width="5.7109375" style="11" customWidth="1"/>
    <col min="12" max="12" width="5.28125" style="11" customWidth="1"/>
    <col min="13" max="13" width="18.28125" style="12" hidden="1" customWidth="1"/>
    <col min="14" max="14" width="9.7109375" style="12" hidden="1" customWidth="1"/>
    <col min="15" max="15" width="8.140625" style="12" hidden="1" customWidth="1"/>
    <col min="16" max="16" width="10.421875" style="12" customWidth="1"/>
    <col min="17" max="17" width="7.140625" style="12" customWidth="1"/>
    <col min="18" max="18" width="10.421875" style="12" customWidth="1"/>
    <col min="19" max="25" width="7.140625" style="12" customWidth="1"/>
    <col min="26" max="28" width="11.421875" style="12" customWidth="1"/>
    <col min="29" max="29" width="11.421875" style="13" hidden="1" customWidth="1"/>
    <col min="30" max="51" width="11.421875" style="12" customWidth="1"/>
    <col min="52" max="16384" width="11.57421875" style="8" customWidth="1"/>
  </cols>
  <sheetData>
    <row r="1" ht="14.25"/>
    <row r="2" ht="14.25"/>
    <row r="3" ht="11.25" customHeight="1"/>
    <row r="4" ht="11.25" customHeight="1"/>
    <row r="5" ht="12.75" customHeight="1"/>
    <row r="6" ht="13.5" customHeight="1"/>
    <row r="7" ht="14.25"/>
    <row r="8" spans="1:11" ht="14.25">
      <c r="A8" s="14"/>
      <c r="B8" s="15"/>
      <c r="C8" s="15"/>
      <c r="D8" s="16"/>
      <c r="E8" s="16"/>
      <c r="F8" s="15"/>
      <c r="G8" s="15"/>
      <c r="H8" s="17"/>
      <c r="I8" s="15"/>
      <c r="J8" s="15"/>
      <c r="K8" s="18"/>
    </row>
    <row r="9" spans="1:14" ht="12.75" customHeight="1">
      <c r="A9" s="19"/>
      <c r="B9" s="20"/>
      <c r="C9" s="21" t="s">
        <v>0</v>
      </c>
      <c r="D9" s="22" t="s">
        <v>65</v>
      </c>
      <c r="E9" s="23"/>
      <c r="F9" s="24"/>
      <c r="G9" s="24"/>
      <c r="H9" s="25"/>
      <c r="I9" s="20"/>
      <c r="J9" s="20"/>
      <c r="K9" s="26"/>
      <c r="M9" s="195" t="s">
        <v>88</v>
      </c>
      <c r="N9" s="195"/>
    </row>
    <row r="10" spans="1:11" ht="15.75" customHeight="1">
      <c r="A10" s="19"/>
      <c r="B10" s="20"/>
      <c r="C10" s="21" t="s">
        <v>1</v>
      </c>
      <c r="D10" s="27" t="s">
        <v>104</v>
      </c>
      <c r="E10" s="28"/>
      <c r="F10" s="28"/>
      <c r="G10" s="29"/>
      <c r="H10" s="20"/>
      <c r="I10" s="20"/>
      <c r="J10" s="20"/>
      <c r="K10" s="30"/>
    </row>
    <row r="11" spans="1:11" ht="12.75" customHeight="1">
      <c r="A11" s="19"/>
      <c r="B11" s="20"/>
      <c r="C11" s="21"/>
      <c r="D11" s="27"/>
      <c r="E11" s="28"/>
      <c r="F11" s="28"/>
      <c r="G11" s="29"/>
      <c r="H11" s="20"/>
      <c r="I11" s="20"/>
      <c r="J11" s="20"/>
      <c r="K11" s="30"/>
    </row>
    <row r="12" spans="1:11" ht="15.75" customHeight="1">
      <c r="A12" s="19"/>
      <c r="B12" s="31" t="s">
        <v>72</v>
      </c>
      <c r="C12" s="32"/>
      <c r="D12" s="33">
        <f>IF(K19=TRUE,J19,IF(K20=TRUE,J20,J21))</f>
        <v>4</v>
      </c>
      <c r="E12" s="34" t="s">
        <v>73</v>
      </c>
      <c r="F12" s="35">
        <f>IF(K14=TRUE,J14,IF(K15=TRUE,J15,J16))</f>
        <v>10</v>
      </c>
      <c r="G12" s="29"/>
      <c r="H12" s="20"/>
      <c r="I12" s="20"/>
      <c r="J12" s="20"/>
      <c r="K12" s="30"/>
    </row>
    <row r="13" spans="1:29" ht="15.75" customHeight="1">
      <c r="A13" s="19"/>
      <c r="B13" s="183" t="s">
        <v>74</v>
      </c>
      <c r="C13" s="184"/>
      <c r="D13" s="36">
        <f>+F13/2</f>
        <v>5</v>
      </c>
      <c r="E13" s="37" t="s">
        <v>2</v>
      </c>
      <c r="F13" s="38">
        <v>10</v>
      </c>
      <c r="G13" s="20"/>
      <c r="H13" s="25"/>
      <c r="I13" s="182" t="s">
        <v>106</v>
      </c>
      <c r="J13" s="182"/>
      <c r="K13" s="40"/>
      <c r="M13" s="191" t="s">
        <v>107</v>
      </c>
      <c r="N13" s="41" t="s">
        <v>77</v>
      </c>
      <c r="AC13" s="42"/>
    </row>
    <row r="14" spans="1:14" ht="15.75" customHeight="1">
      <c r="A14" s="19"/>
      <c r="B14" s="43" t="s">
        <v>110</v>
      </c>
      <c r="C14" s="44"/>
      <c r="D14" s="45">
        <f>(+F12*10/D12)/D13</f>
        <v>5</v>
      </c>
      <c r="E14" s="46" t="s">
        <v>6</v>
      </c>
      <c r="F14" s="47"/>
      <c r="G14" s="20"/>
      <c r="H14" s="48"/>
      <c r="I14" s="49" t="s">
        <v>3</v>
      </c>
      <c r="J14" s="50">
        <v>8</v>
      </c>
      <c r="K14" s="51" t="b">
        <v>0</v>
      </c>
      <c r="M14" s="191"/>
      <c r="N14" s="52" t="s">
        <v>108</v>
      </c>
    </row>
    <row r="15" spans="1:29" ht="15.75" customHeight="1">
      <c r="A15" s="19"/>
      <c r="B15" s="183" t="s">
        <v>5</v>
      </c>
      <c r="C15" s="184"/>
      <c r="D15" s="36">
        <f>+F15/2</f>
        <v>5</v>
      </c>
      <c r="E15" s="37" t="s">
        <v>6</v>
      </c>
      <c r="F15" s="38">
        <v>10</v>
      </c>
      <c r="G15" s="20"/>
      <c r="H15" s="48"/>
      <c r="I15" s="49" t="s">
        <v>13</v>
      </c>
      <c r="J15" s="50">
        <v>10</v>
      </c>
      <c r="K15" s="51" t="b">
        <v>1</v>
      </c>
      <c r="M15" s="41"/>
      <c r="AC15" s="13" t="b">
        <v>1</v>
      </c>
    </row>
    <row r="16" spans="1:29" ht="15.75" customHeight="1">
      <c r="A16" s="19"/>
      <c r="B16" s="175" t="s">
        <v>86</v>
      </c>
      <c r="C16" s="176"/>
      <c r="D16" s="45">
        <v>2000</v>
      </c>
      <c r="E16" s="37" t="s">
        <v>87</v>
      </c>
      <c r="F16" s="47"/>
      <c r="G16" s="20"/>
      <c r="H16" s="48"/>
      <c r="I16" s="49" t="s">
        <v>4</v>
      </c>
      <c r="J16" s="50">
        <v>12</v>
      </c>
      <c r="K16" s="51" t="b">
        <v>0</v>
      </c>
      <c r="M16" s="191" t="s">
        <v>66</v>
      </c>
      <c r="N16" s="41" t="s">
        <v>77</v>
      </c>
      <c r="O16" s="41"/>
      <c r="P16" s="41"/>
      <c r="Q16" s="53"/>
      <c r="AC16" s="13" t="b">
        <v>0</v>
      </c>
    </row>
    <row r="17" spans="1:30" ht="15.75" customHeight="1">
      <c r="A17" s="19"/>
      <c r="B17" s="185"/>
      <c r="C17" s="186"/>
      <c r="D17" s="56"/>
      <c r="E17" s="57"/>
      <c r="F17" s="20"/>
      <c r="G17" s="20"/>
      <c r="H17" s="25"/>
      <c r="I17" s="20"/>
      <c r="J17" s="20"/>
      <c r="K17" s="58"/>
      <c r="M17" s="191"/>
      <c r="N17" s="52"/>
      <c r="O17" s="52"/>
      <c r="P17" s="52"/>
      <c r="Q17" s="53"/>
      <c r="AC17" s="13" t="b">
        <v>0</v>
      </c>
      <c r="AD17" s="59"/>
    </row>
    <row r="18" spans="1:11" ht="15.75" customHeight="1">
      <c r="A18" s="19"/>
      <c r="B18" s="175" t="s">
        <v>109</v>
      </c>
      <c r="C18" s="176"/>
      <c r="D18" s="60">
        <v>55</v>
      </c>
      <c r="E18" s="37" t="s">
        <v>7</v>
      </c>
      <c r="F18" s="20"/>
      <c r="G18" s="20"/>
      <c r="H18" s="25"/>
      <c r="I18" s="182" t="s">
        <v>105</v>
      </c>
      <c r="J18" s="182"/>
      <c r="K18" s="51"/>
    </row>
    <row r="19" spans="1:29" ht="15.75" customHeight="1">
      <c r="A19" s="19"/>
      <c r="B19" s="54"/>
      <c r="C19" s="55"/>
      <c r="D19" s="60">
        <f>D18*1.36</f>
        <v>74.80000000000001</v>
      </c>
      <c r="E19" s="37" t="s">
        <v>12</v>
      </c>
      <c r="F19" s="20"/>
      <c r="G19" s="20"/>
      <c r="H19" s="48"/>
      <c r="I19" s="61" t="s">
        <v>3</v>
      </c>
      <c r="J19" s="50">
        <v>2</v>
      </c>
      <c r="K19" s="51" t="b">
        <v>0</v>
      </c>
      <c r="M19" s="191" t="s">
        <v>78</v>
      </c>
      <c r="N19" s="41" t="s">
        <v>77</v>
      </c>
      <c r="O19" s="41"/>
      <c r="P19" s="41"/>
      <c r="Q19" s="53"/>
      <c r="AC19" s="13" t="b">
        <v>0</v>
      </c>
    </row>
    <row r="20" spans="1:29" ht="15.75" customHeight="1">
      <c r="A20" s="19"/>
      <c r="B20" s="54"/>
      <c r="C20" s="55"/>
      <c r="D20" s="60"/>
      <c r="E20" s="37"/>
      <c r="F20" s="20"/>
      <c r="G20" s="20"/>
      <c r="H20" s="48"/>
      <c r="I20" s="61" t="s">
        <v>13</v>
      </c>
      <c r="J20" s="50">
        <v>4</v>
      </c>
      <c r="K20" s="51" t="b">
        <v>1</v>
      </c>
      <c r="M20" s="191"/>
      <c r="N20" s="52">
        <v>2.5</v>
      </c>
      <c r="O20" s="52"/>
      <c r="P20" s="52"/>
      <c r="Q20" s="53"/>
      <c r="AC20" s="13" t="b">
        <v>1</v>
      </c>
    </row>
    <row r="21" spans="1:13" ht="15.75" customHeight="1">
      <c r="A21" s="19"/>
      <c r="B21" s="175" t="s">
        <v>75</v>
      </c>
      <c r="C21" s="176"/>
      <c r="D21" s="60">
        <f>0.1*D13*D15*D12</f>
        <v>10</v>
      </c>
      <c r="E21" s="37" t="s">
        <v>76</v>
      </c>
      <c r="F21" s="20"/>
      <c r="G21" s="20"/>
      <c r="H21" s="48"/>
      <c r="I21" s="62" t="s">
        <v>4</v>
      </c>
      <c r="J21" s="50">
        <v>6</v>
      </c>
      <c r="K21" s="51" t="b">
        <v>0</v>
      </c>
      <c r="L21" s="63"/>
      <c r="M21" s="41"/>
    </row>
    <row r="22" spans="1:19" ht="15.75" customHeight="1">
      <c r="A22" s="19"/>
      <c r="B22" s="175" t="s">
        <v>14</v>
      </c>
      <c r="C22" s="176"/>
      <c r="D22" s="64">
        <f>10/(D15*D13)</f>
        <v>0.4</v>
      </c>
      <c r="E22" s="37" t="s">
        <v>15</v>
      </c>
      <c r="F22" s="20"/>
      <c r="G22" s="20"/>
      <c r="H22" s="65"/>
      <c r="I22" s="65"/>
      <c r="J22" s="65"/>
      <c r="K22" s="40"/>
      <c r="L22" s="63"/>
      <c r="M22" s="192" t="s">
        <v>8</v>
      </c>
      <c r="N22" s="192"/>
      <c r="O22" s="41"/>
      <c r="P22" s="41"/>
      <c r="Q22" s="66"/>
      <c r="S22" s="66"/>
    </row>
    <row r="23" spans="1:29" ht="15.75" customHeight="1">
      <c r="A23" s="19"/>
      <c r="B23" s="175" t="s">
        <v>16</v>
      </c>
      <c r="C23" s="176"/>
      <c r="D23" s="67">
        <f>IF(AC23=TRUE,J24,IF(AC24=TRUE,J25,IF(AC25=TRUE,J26)))</f>
        <v>0.5</v>
      </c>
      <c r="E23" s="68"/>
      <c r="F23" s="20"/>
      <c r="G23" s="20"/>
      <c r="H23" s="25"/>
      <c r="I23" s="182" t="s">
        <v>11</v>
      </c>
      <c r="J23" s="182"/>
      <c r="K23" s="40"/>
      <c r="L23" s="63"/>
      <c r="M23" s="12" t="s">
        <v>67</v>
      </c>
      <c r="N23" s="12" t="s">
        <v>10</v>
      </c>
      <c r="O23" s="41"/>
      <c r="P23" s="41"/>
      <c r="Q23" s="66"/>
      <c r="R23" s="66"/>
      <c r="S23" s="66"/>
      <c r="AC23" s="13" t="b">
        <v>0</v>
      </c>
    </row>
    <row r="24" spans="1:29" ht="15.75" customHeight="1">
      <c r="A24" s="19"/>
      <c r="B24" s="201" t="s">
        <v>17</v>
      </c>
      <c r="C24" s="202"/>
      <c r="D24" s="71">
        <f>D22/D23</f>
        <v>0.8</v>
      </c>
      <c r="E24" s="72" t="s">
        <v>15</v>
      </c>
      <c r="F24" s="20"/>
      <c r="G24" s="20"/>
      <c r="H24" s="48"/>
      <c r="I24" s="61" t="s">
        <v>3</v>
      </c>
      <c r="J24" s="39">
        <v>0.4</v>
      </c>
      <c r="K24" s="40"/>
      <c r="L24" s="63"/>
      <c r="M24" s="12" t="s">
        <v>68</v>
      </c>
      <c r="N24" s="41" t="s">
        <v>71</v>
      </c>
      <c r="O24" s="41"/>
      <c r="Q24" s="66"/>
      <c r="R24" s="66"/>
      <c r="S24" s="66"/>
      <c r="AC24" s="13" t="b">
        <v>1</v>
      </c>
    </row>
    <row r="25" spans="1:29" ht="15.75" customHeight="1">
      <c r="A25" s="19"/>
      <c r="B25" s="73"/>
      <c r="C25" s="74"/>
      <c r="D25" s="71">
        <f>1/D24</f>
        <v>1.25</v>
      </c>
      <c r="E25" s="72" t="s">
        <v>19</v>
      </c>
      <c r="F25" s="20"/>
      <c r="G25" s="20"/>
      <c r="H25" s="48"/>
      <c r="I25" s="61" t="s">
        <v>13</v>
      </c>
      <c r="J25" s="39">
        <v>0.5</v>
      </c>
      <c r="K25" s="40"/>
      <c r="M25" s="12" t="s">
        <v>69</v>
      </c>
      <c r="N25" s="41" t="s">
        <v>70</v>
      </c>
      <c r="O25" s="41"/>
      <c r="P25" s="41"/>
      <c r="Q25" s="66"/>
      <c r="R25" s="66"/>
      <c r="S25" s="66"/>
      <c r="AC25" s="13" t="b">
        <v>0</v>
      </c>
    </row>
    <row r="26" spans="1:18" ht="15.75" customHeight="1">
      <c r="A26" s="19"/>
      <c r="B26" s="73"/>
      <c r="C26" s="75"/>
      <c r="D26" s="67"/>
      <c r="E26" s="68"/>
      <c r="F26" s="20"/>
      <c r="G26" s="20"/>
      <c r="H26" s="48"/>
      <c r="I26" s="61" t="s">
        <v>4</v>
      </c>
      <c r="J26" s="39">
        <v>0.6</v>
      </c>
      <c r="K26" s="26"/>
      <c r="L26" s="63"/>
      <c r="M26" s="41"/>
      <c r="N26" s="66"/>
      <c r="O26" s="66"/>
      <c r="P26" s="66"/>
      <c r="R26" s="66"/>
    </row>
    <row r="27" spans="1:12" ht="15.75" customHeight="1">
      <c r="A27" s="19"/>
      <c r="B27" s="175" t="s">
        <v>23</v>
      </c>
      <c r="C27" s="176"/>
      <c r="D27" s="67">
        <f>IF(AC29=TRUE,J29,IF(AC30=TRUE,J30,IF(AC31=TRUE,J31)))</f>
        <v>75</v>
      </c>
      <c r="E27" s="37" t="s">
        <v>9</v>
      </c>
      <c r="F27" s="20"/>
      <c r="G27" s="20"/>
      <c r="H27" s="25"/>
      <c r="I27" s="20"/>
      <c r="J27" s="20"/>
      <c r="K27" s="40"/>
      <c r="L27" s="63"/>
    </row>
    <row r="28" spans="1:19" ht="15.75" customHeight="1">
      <c r="A28" s="19"/>
      <c r="B28" s="175" t="s">
        <v>25</v>
      </c>
      <c r="C28" s="176"/>
      <c r="D28" s="60">
        <f>D19*100/D27</f>
        <v>99.73333333333335</v>
      </c>
      <c r="E28" s="37" t="s">
        <v>12</v>
      </c>
      <c r="F28" s="20"/>
      <c r="G28" s="20"/>
      <c r="H28" s="25"/>
      <c r="I28" s="180" t="s">
        <v>18</v>
      </c>
      <c r="J28" s="181"/>
      <c r="K28" s="40"/>
      <c r="L28" s="63"/>
      <c r="M28" s="193" t="s">
        <v>90</v>
      </c>
      <c r="N28" s="193"/>
      <c r="O28" s="193"/>
      <c r="P28" s="76"/>
      <c r="Q28" s="76"/>
      <c r="R28" s="76"/>
      <c r="S28" s="77"/>
    </row>
    <row r="29" spans="1:29" ht="15.75" customHeight="1">
      <c r="A29" s="19"/>
      <c r="B29" s="78"/>
      <c r="C29" s="79"/>
      <c r="D29" s="67"/>
      <c r="E29" s="68"/>
      <c r="F29" s="20"/>
      <c r="G29" s="20"/>
      <c r="H29" s="48"/>
      <c r="I29" s="61" t="s">
        <v>20</v>
      </c>
      <c r="J29" s="39">
        <v>25</v>
      </c>
      <c r="K29" s="40"/>
      <c r="L29" s="63"/>
      <c r="M29" s="194" t="s">
        <v>80</v>
      </c>
      <c r="N29" s="53">
        <f>D31</f>
        <v>120</v>
      </c>
      <c r="O29" s="76" t="s">
        <v>12</v>
      </c>
      <c r="P29" s="76"/>
      <c r="Q29" s="76"/>
      <c r="R29" s="76"/>
      <c r="AC29" s="13" t="b">
        <v>0</v>
      </c>
    </row>
    <row r="30" spans="1:29" ht="15.75" customHeight="1">
      <c r="A30" s="19"/>
      <c r="B30" s="175" t="s">
        <v>79</v>
      </c>
      <c r="C30" s="176"/>
      <c r="D30" s="67" t="str">
        <f>IF(AC34=TRUE,"Pequeño",IF(AC35=TRUE,"Mediano",IF(AC36=TRUE,"Grande",IF(AC37=TRUE,"Muy Grande",))))</f>
        <v>Mediano</v>
      </c>
      <c r="E30" s="37"/>
      <c r="F30" s="20"/>
      <c r="G30" s="20"/>
      <c r="H30" s="48"/>
      <c r="I30" s="61" t="s">
        <v>21</v>
      </c>
      <c r="J30" s="39">
        <v>50</v>
      </c>
      <c r="K30" s="40"/>
      <c r="L30" s="63"/>
      <c r="M30" s="194"/>
      <c r="N30" s="80">
        <f>N29/1.36</f>
        <v>88.23529411764706</v>
      </c>
      <c r="O30" s="76" t="s">
        <v>7</v>
      </c>
      <c r="P30" s="81"/>
      <c r="Q30" s="187" t="s">
        <v>91</v>
      </c>
      <c r="R30" s="187"/>
      <c r="AC30" s="13" t="b">
        <v>0</v>
      </c>
    </row>
    <row r="31" spans="1:29" ht="15.75" customHeight="1">
      <c r="A31" s="19"/>
      <c r="B31" s="189" t="s">
        <v>80</v>
      </c>
      <c r="C31" s="190"/>
      <c r="D31" s="82">
        <f>IF(AC34=TRUE,J34,IF(AC35=TRUE,J35,IF(AC36=TRUE,J36,IF(AC37=TRUE,J37,""))))</f>
        <v>120</v>
      </c>
      <c r="E31" s="83" t="s">
        <v>12</v>
      </c>
      <c r="F31" s="20"/>
      <c r="G31" s="20"/>
      <c r="H31" s="48"/>
      <c r="I31" s="61" t="s">
        <v>24</v>
      </c>
      <c r="J31" s="39">
        <v>75</v>
      </c>
      <c r="K31" s="26"/>
      <c r="L31" s="63"/>
      <c r="M31" s="188" t="s">
        <v>92</v>
      </c>
      <c r="N31" s="53">
        <f>+I58</f>
        <v>560</v>
      </c>
      <c r="O31" s="12" t="s">
        <v>61</v>
      </c>
      <c r="P31" s="76"/>
      <c r="Q31" s="187"/>
      <c r="R31" s="187"/>
      <c r="AC31" s="13" t="b">
        <v>1</v>
      </c>
    </row>
    <row r="32" spans="1:27" ht="15.75" customHeight="1">
      <c r="A32" s="19"/>
      <c r="B32" s="20"/>
      <c r="C32" s="20"/>
      <c r="D32" s="84"/>
      <c r="E32" s="23"/>
      <c r="F32" s="20"/>
      <c r="G32" s="20"/>
      <c r="H32" s="25"/>
      <c r="I32" s="20"/>
      <c r="J32" s="20"/>
      <c r="K32" s="40"/>
      <c r="L32" s="63"/>
      <c r="M32" s="188"/>
      <c r="N32" s="85">
        <f>N30*N31</f>
        <v>49411.76470588235</v>
      </c>
      <c r="O32" s="12" t="s">
        <v>47</v>
      </c>
      <c r="P32" s="76"/>
      <c r="Q32" s="80" t="s">
        <v>22</v>
      </c>
      <c r="R32" s="86" t="s">
        <v>93</v>
      </c>
      <c r="T32" s="66"/>
      <c r="U32" s="66"/>
      <c r="V32" s="66"/>
      <c r="W32" s="66"/>
      <c r="X32" s="66"/>
      <c r="Y32" s="66"/>
      <c r="Z32" s="66"/>
      <c r="AA32" s="66"/>
    </row>
    <row r="33" spans="1:26" ht="15.75" customHeight="1">
      <c r="A33" s="19"/>
      <c r="B33" s="172" t="s">
        <v>31</v>
      </c>
      <c r="C33" s="173"/>
      <c r="D33" s="87"/>
      <c r="E33" s="88"/>
      <c r="F33" s="20"/>
      <c r="G33" s="20"/>
      <c r="H33" s="25"/>
      <c r="I33" s="180" t="s">
        <v>27</v>
      </c>
      <c r="J33" s="181"/>
      <c r="K33" s="40"/>
      <c r="L33" s="63"/>
      <c r="M33" s="188" t="s">
        <v>94</v>
      </c>
      <c r="N33" s="89">
        <v>12000</v>
      </c>
      <c r="O33" s="12" t="s">
        <v>60</v>
      </c>
      <c r="P33" s="76"/>
      <c r="Q33" s="85">
        <v>500</v>
      </c>
      <c r="R33" s="80">
        <f>$N$32/$N$33+$N$32/($N$34*Q33)+($N$32*$N$35*0.6)/(Q33*100)+($N$32*(($N$36+$N$37)/(Q33*100)))+$N$30*$N$39*$N$38</f>
        <v>14.967058823529412</v>
      </c>
      <c r="T33" s="66"/>
      <c r="U33" s="66"/>
      <c r="V33" s="66"/>
      <c r="W33" s="66"/>
      <c r="X33" s="66"/>
      <c r="Y33" s="66"/>
      <c r="Z33" s="66"/>
    </row>
    <row r="34" spans="1:29" ht="15.75" customHeight="1">
      <c r="A34" s="19"/>
      <c r="B34" s="170" t="s">
        <v>33</v>
      </c>
      <c r="C34" s="171"/>
      <c r="D34" s="90">
        <f>IF(D27=J29,J41*D31/1.36,IF(D27=J30,J42*D31/1.36,IF(D27=J31,J43*D31/1.36)))</f>
        <v>18.26470588235294</v>
      </c>
      <c r="E34" s="34" t="s">
        <v>34</v>
      </c>
      <c r="F34" s="20"/>
      <c r="G34" s="20"/>
      <c r="H34" s="48"/>
      <c r="I34" s="49" t="s">
        <v>28</v>
      </c>
      <c r="J34" s="91">
        <v>90</v>
      </c>
      <c r="K34" s="40"/>
      <c r="M34" s="188"/>
      <c r="N34" s="41">
        <v>20</v>
      </c>
      <c r="O34" s="12" t="s">
        <v>51</v>
      </c>
      <c r="P34" s="76"/>
      <c r="Q34" s="85">
        <v>1000</v>
      </c>
      <c r="R34" s="80">
        <f>$N$32/$N$33+$N$32/($N$34*Q34)+($N$32*$N$35*0.6)/(Q34*100)+($N$32*(($N$36+$N$37)/(Q34*100)))+$N$30*$N$39*$N$38</f>
        <v>10.865882352941176</v>
      </c>
      <c r="T34" s="66"/>
      <c r="U34" s="66"/>
      <c r="V34" s="66"/>
      <c r="W34" s="66"/>
      <c r="X34" s="66"/>
      <c r="Y34" s="66"/>
      <c r="Z34" s="66"/>
      <c r="AC34" s="13" t="b">
        <v>0</v>
      </c>
    </row>
    <row r="35" spans="1:29" ht="15.75" customHeight="1">
      <c r="A35" s="19"/>
      <c r="B35" s="78"/>
      <c r="C35" s="79"/>
      <c r="D35" s="64">
        <f>D34*D24</f>
        <v>14.61176470588235</v>
      </c>
      <c r="E35" s="37" t="s">
        <v>35</v>
      </c>
      <c r="F35" s="20"/>
      <c r="G35" s="20"/>
      <c r="H35" s="48"/>
      <c r="I35" s="61" t="s">
        <v>29</v>
      </c>
      <c r="J35" s="39">
        <v>120</v>
      </c>
      <c r="K35" s="40"/>
      <c r="L35" s="63"/>
      <c r="M35" s="92" t="s">
        <v>95</v>
      </c>
      <c r="N35" s="93">
        <f>+D49</f>
        <v>5</v>
      </c>
      <c r="O35" s="12" t="s">
        <v>9</v>
      </c>
      <c r="P35" s="76"/>
      <c r="Q35" s="76"/>
      <c r="R35" s="76"/>
      <c r="T35" s="66"/>
      <c r="U35" s="66"/>
      <c r="V35" s="66"/>
      <c r="W35" s="66"/>
      <c r="X35" s="66"/>
      <c r="Y35" s="66"/>
      <c r="Z35" s="66"/>
      <c r="AC35" s="13" t="b">
        <v>1</v>
      </c>
    </row>
    <row r="36" spans="1:29" ht="15.75" customHeight="1">
      <c r="A36" s="19"/>
      <c r="B36" s="175" t="s">
        <v>37</v>
      </c>
      <c r="C36" s="176"/>
      <c r="D36" s="94">
        <f>D34*0.1/100</f>
        <v>0.01826470588235294</v>
      </c>
      <c r="E36" s="37" t="s">
        <v>34</v>
      </c>
      <c r="F36" s="20"/>
      <c r="G36" s="20"/>
      <c r="H36" s="48"/>
      <c r="I36" s="61" t="s">
        <v>30</v>
      </c>
      <c r="J36" s="39">
        <v>150</v>
      </c>
      <c r="K36" s="26"/>
      <c r="L36" s="63"/>
      <c r="M36" s="92" t="s">
        <v>62</v>
      </c>
      <c r="N36" s="93">
        <v>0.2</v>
      </c>
      <c r="O36" s="12" t="s">
        <v>9</v>
      </c>
      <c r="P36" s="76"/>
      <c r="Q36" s="76"/>
      <c r="R36" s="76"/>
      <c r="AC36" s="13" t="b">
        <v>0</v>
      </c>
    </row>
    <row r="37" spans="1:29" ht="15.75" customHeight="1">
      <c r="A37" s="19"/>
      <c r="B37" s="73"/>
      <c r="C37" s="75"/>
      <c r="D37" s="94">
        <f>D35*0.1/100</f>
        <v>0.01461176470588235</v>
      </c>
      <c r="E37" s="37" t="s">
        <v>35</v>
      </c>
      <c r="F37" s="20"/>
      <c r="G37" s="20"/>
      <c r="H37" s="48"/>
      <c r="I37" s="61" t="s">
        <v>32</v>
      </c>
      <c r="J37" s="39">
        <v>180</v>
      </c>
      <c r="K37" s="40"/>
      <c r="L37" s="63"/>
      <c r="M37" s="92" t="s">
        <v>63</v>
      </c>
      <c r="N37" s="93">
        <v>0.1</v>
      </c>
      <c r="O37" s="12" t="s">
        <v>9</v>
      </c>
      <c r="P37" s="76"/>
      <c r="Q37" s="76"/>
      <c r="R37" s="76"/>
      <c r="AC37" s="13" t="b">
        <v>0</v>
      </c>
    </row>
    <row r="38" spans="1:18" ht="15.75" customHeight="1" thickBot="1">
      <c r="A38" s="19"/>
      <c r="B38" s="177" t="s">
        <v>40</v>
      </c>
      <c r="C38" s="178"/>
      <c r="D38" s="95">
        <v>1</v>
      </c>
      <c r="E38" s="96" t="s">
        <v>41</v>
      </c>
      <c r="F38" s="20"/>
      <c r="G38" s="20"/>
      <c r="H38" s="25"/>
      <c r="I38" s="20"/>
      <c r="J38" s="20"/>
      <c r="K38" s="40"/>
      <c r="L38" s="63"/>
      <c r="M38" s="97" t="s">
        <v>96</v>
      </c>
      <c r="N38" s="93">
        <v>0.2</v>
      </c>
      <c r="O38" s="98" t="s">
        <v>41</v>
      </c>
      <c r="P38" s="76"/>
      <c r="Q38" s="76"/>
      <c r="R38" s="76"/>
    </row>
    <row r="39" spans="1:18" ht="15.75" customHeight="1" thickTop="1">
      <c r="A39" s="19"/>
      <c r="B39" s="69" t="s">
        <v>42</v>
      </c>
      <c r="C39" s="70"/>
      <c r="D39" s="99">
        <f>D38*D34</f>
        <v>18.26470588235294</v>
      </c>
      <c r="E39" s="72" t="s">
        <v>26</v>
      </c>
      <c r="F39" s="20"/>
      <c r="G39" s="20"/>
      <c r="H39" s="25"/>
      <c r="I39" s="180" t="s">
        <v>36</v>
      </c>
      <c r="J39" s="181"/>
      <c r="K39" s="40"/>
      <c r="M39" s="97" t="s">
        <v>97</v>
      </c>
      <c r="N39" s="100">
        <v>0.15</v>
      </c>
      <c r="O39" s="101" t="s">
        <v>64</v>
      </c>
      <c r="P39" s="76"/>
      <c r="Q39" s="76"/>
      <c r="R39" s="76"/>
    </row>
    <row r="40" spans="1:11" ht="15.75" customHeight="1">
      <c r="A40" s="19"/>
      <c r="B40" s="102"/>
      <c r="C40" s="103"/>
      <c r="D40" s="104">
        <f>D35*D38</f>
        <v>14.61176470588235</v>
      </c>
      <c r="E40" s="105" t="s">
        <v>43</v>
      </c>
      <c r="F40" s="20"/>
      <c r="G40" s="20"/>
      <c r="H40" s="25"/>
      <c r="I40" s="61" t="s">
        <v>38</v>
      </c>
      <c r="J40" s="91" t="s">
        <v>39</v>
      </c>
      <c r="K40" s="40"/>
    </row>
    <row r="41" spans="1:12" ht="15.75" customHeight="1">
      <c r="A41" s="19"/>
      <c r="B41" s="20"/>
      <c r="C41" s="20"/>
      <c r="D41" s="84"/>
      <c r="E41" s="23"/>
      <c r="F41" s="20"/>
      <c r="G41" s="20"/>
      <c r="H41" s="20"/>
      <c r="I41" s="61" t="s">
        <v>3</v>
      </c>
      <c r="J41" s="106">
        <v>0.1</v>
      </c>
      <c r="K41" s="40"/>
      <c r="L41" s="63"/>
    </row>
    <row r="42" spans="1:12" ht="15.75" customHeight="1">
      <c r="A42" s="19"/>
      <c r="B42" s="203" t="s">
        <v>44</v>
      </c>
      <c r="C42" s="204"/>
      <c r="D42" s="107"/>
      <c r="E42" s="108"/>
      <c r="F42" s="109"/>
      <c r="G42" s="110"/>
      <c r="H42" s="20"/>
      <c r="I42" s="61" t="s">
        <v>13</v>
      </c>
      <c r="J42" s="106">
        <v>0.15</v>
      </c>
      <c r="K42" s="26"/>
      <c r="L42" s="63"/>
    </row>
    <row r="43" spans="1:12" ht="15.75" customHeight="1">
      <c r="A43" s="19"/>
      <c r="B43" s="170" t="s">
        <v>45</v>
      </c>
      <c r="C43" s="171"/>
      <c r="D43" s="111">
        <f>IF(AC48=TRUE,J46,J47)</f>
        <v>100</v>
      </c>
      <c r="E43" s="112" t="s">
        <v>22</v>
      </c>
      <c r="F43" s="113"/>
      <c r="G43" s="114"/>
      <c r="H43" s="20"/>
      <c r="I43" s="61" t="s">
        <v>4</v>
      </c>
      <c r="J43" s="106">
        <v>0.207</v>
      </c>
      <c r="K43" s="40"/>
      <c r="L43" s="63"/>
    </row>
    <row r="44" spans="1:12" ht="15.75" customHeight="1">
      <c r="A44" s="19"/>
      <c r="B44" s="78"/>
      <c r="C44" s="79"/>
      <c r="D44" s="67"/>
      <c r="E44" s="115"/>
      <c r="F44" s="75"/>
      <c r="G44" s="116"/>
      <c r="H44" s="20"/>
      <c r="I44" s="20"/>
      <c r="J44" s="20"/>
      <c r="K44" s="40"/>
      <c r="L44" s="63"/>
    </row>
    <row r="45" spans="1:11" ht="15.75" customHeight="1">
      <c r="A45" s="19"/>
      <c r="B45" s="175" t="s">
        <v>46</v>
      </c>
      <c r="C45" s="176"/>
      <c r="D45" s="117">
        <v>1600</v>
      </c>
      <c r="E45" s="118" t="s">
        <v>47</v>
      </c>
      <c r="F45" s="75"/>
      <c r="G45" s="116"/>
      <c r="H45" s="20"/>
      <c r="I45" s="180" t="s">
        <v>85</v>
      </c>
      <c r="J45" s="181"/>
      <c r="K45" s="119"/>
    </row>
    <row r="46" spans="1:11" ht="15.75" customHeight="1">
      <c r="A46" s="19"/>
      <c r="B46" s="73"/>
      <c r="C46" s="75"/>
      <c r="D46" s="45"/>
      <c r="E46" s="115"/>
      <c r="F46" s="75"/>
      <c r="G46" s="116"/>
      <c r="H46" s="61"/>
      <c r="I46" s="61" t="s">
        <v>3</v>
      </c>
      <c r="J46" s="120">
        <v>100</v>
      </c>
      <c r="K46" s="119"/>
    </row>
    <row r="47" spans="1:11" ht="15.75" customHeight="1">
      <c r="A47" s="19"/>
      <c r="B47" s="175" t="s">
        <v>48</v>
      </c>
      <c r="C47" s="176"/>
      <c r="D47" s="117">
        <v>1000</v>
      </c>
      <c r="E47" s="118" t="s">
        <v>49</v>
      </c>
      <c r="F47" s="64">
        <f>+$D$45/$D47</f>
        <v>1.6</v>
      </c>
      <c r="G47" s="121" t="s">
        <v>26</v>
      </c>
      <c r="H47" s="61"/>
      <c r="I47" s="61" t="s">
        <v>4</v>
      </c>
      <c r="J47" s="122">
        <v>200</v>
      </c>
      <c r="K47" s="119"/>
    </row>
    <row r="48" spans="1:29" ht="15.75" customHeight="1">
      <c r="A48" s="19"/>
      <c r="B48" s="175" t="s">
        <v>50</v>
      </c>
      <c r="C48" s="176"/>
      <c r="D48" s="123">
        <v>20</v>
      </c>
      <c r="E48" s="118" t="s">
        <v>51</v>
      </c>
      <c r="F48" s="64">
        <f>+$D$45/($D48*D43)</f>
        <v>0.8</v>
      </c>
      <c r="G48" s="121" t="s">
        <v>26</v>
      </c>
      <c r="H48" s="20"/>
      <c r="I48" s="20"/>
      <c r="J48" s="20"/>
      <c r="K48" s="26"/>
      <c r="AC48" s="13" t="b">
        <v>1</v>
      </c>
    </row>
    <row r="49" spans="1:29" ht="15.75" customHeight="1">
      <c r="A49" s="19"/>
      <c r="B49" s="175" t="s">
        <v>52</v>
      </c>
      <c r="C49" s="176"/>
      <c r="D49" s="123">
        <v>5</v>
      </c>
      <c r="E49" s="118" t="s">
        <v>9</v>
      </c>
      <c r="F49" s="64">
        <f>+$D$45*0.006*$D49/D43</f>
        <v>0.48</v>
      </c>
      <c r="G49" s="121" t="s">
        <v>26</v>
      </c>
      <c r="H49" s="20"/>
      <c r="I49" s="20"/>
      <c r="J49" s="20"/>
      <c r="K49" s="40"/>
      <c r="AC49" s="13" t="b">
        <v>0</v>
      </c>
    </row>
    <row r="50" spans="1:11" ht="15.75" customHeight="1">
      <c r="A50" s="19"/>
      <c r="B50" s="175" t="s">
        <v>53</v>
      </c>
      <c r="C50" s="176"/>
      <c r="D50" s="123">
        <v>0.2</v>
      </c>
      <c r="E50" s="118" t="s">
        <v>54</v>
      </c>
      <c r="F50" s="64">
        <f>+$D$45*$D50/(100*D43)</f>
        <v>0.032</v>
      </c>
      <c r="G50" s="121" t="s">
        <v>26</v>
      </c>
      <c r="H50" s="20"/>
      <c r="I50" s="20"/>
      <c r="J50" s="20"/>
      <c r="K50" s="40"/>
    </row>
    <row r="51" spans="1:11" ht="15.75" customHeight="1">
      <c r="A51" s="19"/>
      <c r="B51" s="175" t="s">
        <v>55</v>
      </c>
      <c r="C51" s="176"/>
      <c r="D51" s="123">
        <v>0.1</v>
      </c>
      <c r="E51" s="118" t="s">
        <v>54</v>
      </c>
      <c r="F51" s="64">
        <f>+$D$45*$D51/(D43*100)</f>
        <v>0.016</v>
      </c>
      <c r="G51" s="121" t="s">
        <v>26</v>
      </c>
      <c r="H51" s="20"/>
      <c r="I51" s="199" t="str">
        <f>CONCATENATE("Vida útil para ",D43," h/año")</f>
        <v>Vida útil para 100 h/año</v>
      </c>
      <c r="J51" s="199"/>
      <c r="K51" s="124"/>
    </row>
    <row r="52" spans="1:11" ht="15.75" customHeight="1" thickBot="1">
      <c r="A52" s="19"/>
      <c r="B52" s="177" t="s">
        <v>56</v>
      </c>
      <c r="C52" s="178"/>
      <c r="D52" s="125">
        <v>10</v>
      </c>
      <c r="E52" s="126" t="s">
        <v>43</v>
      </c>
      <c r="F52" s="127">
        <f>+D52/D24</f>
        <v>12.5</v>
      </c>
      <c r="G52" s="128" t="s">
        <v>26</v>
      </c>
      <c r="H52" s="20"/>
      <c r="I52" s="129" t="s">
        <v>49</v>
      </c>
      <c r="J52" s="130">
        <f>+$D$45/($F$47+$F$48)</f>
        <v>666.6666666666665</v>
      </c>
      <c r="K52" s="26"/>
    </row>
    <row r="53" spans="1:11" ht="15.75" customHeight="1" thickTop="1">
      <c r="A53" s="19"/>
      <c r="B53" s="69" t="s">
        <v>57</v>
      </c>
      <c r="C53" s="11"/>
      <c r="D53" s="115"/>
      <c r="E53" s="115"/>
      <c r="F53" s="64">
        <f>SUM(F47:F52)</f>
        <v>15.428</v>
      </c>
      <c r="G53" s="121" t="s">
        <v>26</v>
      </c>
      <c r="H53" s="20"/>
      <c r="I53" s="129" t="s">
        <v>51</v>
      </c>
      <c r="J53" s="131">
        <f>+$D$45/($D$43*($F$47+$F$48))</f>
        <v>6.666666666666666</v>
      </c>
      <c r="K53" s="26"/>
    </row>
    <row r="54" spans="1:11" ht="15.75" customHeight="1">
      <c r="A54" s="19"/>
      <c r="B54" s="132"/>
      <c r="C54" s="133"/>
      <c r="D54" s="134"/>
      <c r="E54" s="134"/>
      <c r="F54" s="135">
        <f>+F53*D24</f>
        <v>12.342400000000001</v>
      </c>
      <c r="G54" s="136" t="s">
        <v>43</v>
      </c>
      <c r="H54" s="20"/>
      <c r="I54" s="20"/>
      <c r="J54" s="20"/>
      <c r="K54" s="137"/>
    </row>
    <row r="55" spans="1:11" ht="15.75" customHeight="1">
      <c r="A55" s="19"/>
      <c r="B55" s="65"/>
      <c r="C55" s="65"/>
      <c r="D55" s="138"/>
      <c r="E55" s="138"/>
      <c r="F55" s="65"/>
      <c r="G55" s="139"/>
      <c r="H55" s="47"/>
      <c r="I55" s="47"/>
      <c r="J55" s="20"/>
      <c r="K55" s="140"/>
    </row>
    <row r="56" spans="1:11" ht="15.75" customHeight="1">
      <c r="A56" s="19"/>
      <c r="B56" s="174" t="s">
        <v>58</v>
      </c>
      <c r="C56" s="174"/>
      <c r="D56" s="174"/>
      <c r="E56" s="200" t="s">
        <v>89</v>
      </c>
      <c r="F56" s="200"/>
      <c r="G56" s="141"/>
      <c r="H56" s="47"/>
      <c r="I56" s="47"/>
      <c r="J56" s="20"/>
      <c r="K56" s="142"/>
    </row>
    <row r="57" spans="1:11" ht="15.75" customHeight="1">
      <c r="A57" s="19"/>
      <c r="B57" s="179" t="s">
        <v>81</v>
      </c>
      <c r="C57" s="179"/>
      <c r="D57" s="143" t="s">
        <v>82</v>
      </c>
      <c r="E57" s="144" t="s">
        <v>26</v>
      </c>
      <c r="F57" s="144" t="s">
        <v>43</v>
      </c>
      <c r="G57" s="141"/>
      <c r="H57" s="47"/>
      <c r="I57" s="179" t="s">
        <v>101</v>
      </c>
      <c r="J57" s="179"/>
      <c r="K57" s="26"/>
    </row>
    <row r="58" spans="1:11" ht="15.75" customHeight="1">
      <c r="A58" s="19"/>
      <c r="B58" s="61"/>
      <c r="C58" s="61" t="s">
        <v>83</v>
      </c>
      <c r="D58" s="145">
        <f>R33</f>
        <v>14.967058823529412</v>
      </c>
      <c r="E58" s="131">
        <f>IF(AC69=TRUE,D58+F53,D58*0)</f>
        <v>0</v>
      </c>
      <c r="F58" s="146">
        <f>E58*$D$24</f>
        <v>0</v>
      </c>
      <c r="G58" s="147">
        <f>IF(AC69=TRUE,F58,F58*0)</f>
        <v>0</v>
      </c>
      <c r="H58" s="47"/>
      <c r="I58" s="148">
        <v>560</v>
      </c>
      <c r="J58" s="49" t="s">
        <v>102</v>
      </c>
      <c r="K58" s="26"/>
    </row>
    <row r="59" spans="1:11" ht="15.75" customHeight="1">
      <c r="A59" s="19"/>
      <c r="B59" s="61"/>
      <c r="C59" s="61" t="s">
        <v>84</v>
      </c>
      <c r="D59" s="145">
        <f>R34</f>
        <v>10.865882352941176</v>
      </c>
      <c r="E59" s="131">
        <f>IF(AC70=TRUE,D59+F53,D59*0)</f>
        <v>26.293882352941175</v>
      </c>
      <c r="F59" s="146">
        <f>E59*$D$24</f>
        <v>21.03510588235294</v>
      </c>
      <c r="G59" s="147">
        <f>IF(AC70=TRUE,F59,F59*0)</f>
        <v>21.03510588235294</v>
      </c>
      <c r="H59" s="47"/>
      <c r="I59" s="47"/>
      <c r="J59" s="20"/>
      <c r="K59" s="26"/>
    </row>
    <row r="60" spans="1:11" ht="15.75" customHeight="1">
      <c r="A60" s="19"/>
      <c r="B60" s="20"/>
      <c r="C60" s="149"/>
      <c r="D60" s="23"/>
      <c r="E60" s="21"/>
      <c r="F60" s="150"/>
      <c r="G60" s="141"/>
      <c r="H60" s="47"/>
      <c r="I60" s="47"/>
      <c r="J60" s="20"/>
      <c r="K60" s="26"/>
    </row>
    <row r="61" spans="1:11" ht="15.75" customHeight="1">
      <c r="A61" s="19"/>
      <c r="B61" s="197" t="s">
        <v>98</v>
      </c>
      <c r="C61" s="197"/>
      <c r="D61" s="197"/>
      <c r="E61" s="198" t="s">
        <v>57</v>
      </c>
      <c r="F61" s="198"/>
      <c r="G61" s="141"/>
      <c r="H61" s="47"/>
      <c r="I61" s="47"/>
      <c r="J61" s="20"/>
      <c r="K61" s="26"/>
    </row>
    <row r="62" spans="1:11" ht="15.75" customHeight="1">
      <c r="A62" s="19"/>
      <c r="B62" s="179" t="s">
        <v>81</v>
      </c>
      <c r="C62" s="179"/>
      <c r="D62" s="151" t="s">
        <v>59</v>
      </c>
      <c r="E62" s="198" t="s">
        <v>43</v>
      </c>
      <c r="F62" s="198"/>
      <c r="G62" s="147"/>
      <c r="H62" s="47"/>
      <c r="I62" s="47"/>
      <c r="J62" s="20"/>
      <c r="K62" s="26"/>
    </row>
    <row r="63" spans="1:11" ht="15.75" customHeight="1">
      <c r="A63" s="19"/>
      <c r="B63" s="61"/>
      <c r="C63" s="152" t="str">
        <f>IF(D43=J46,"Baja","Alta")</f>
        <v>Baja</v>
      </c>
      <c r="D63" s="153">
        <f>D43*D25</f>
        <v>125</v>
      </c>
      <c r="E63" s="196">
        <f>$D$24*(($D$45/$D$47)+$D$45/($D$48*D63*$D$24)+(($D$45*0.006*$D$49)/(D63*$D$24))+$D$45*($D$50+$D$51)/(100*D63*$D$24)+($D$52/$D$24))+$G$58+$G$59</f>
        <v>33.37750588235294</v>
      </c>
      <c r="F63" s="196"/>
      <c r="G63" s="25"/>
      <c r="H63" s="20"/>
      <c r="I63" s="20"/>
      <c r="J63" s="20"/>
      <c r="K63" s="26"/>
    </row>
    <row r="64" spans="1:11" ht="15.75" customHeight="1">
      <c r="A64" s="19"/>
      <c r="B64" s="20"/>
      <c r="C64" s="154"/>
      <c r="D64" s="23"/>
      <c r="E64" s="23"/>
      <c r="F64" s="155"/>
      <c r="G64" s="156"/>
      <c r="H64" s="20"/>
      <c r="I64" s="20"/>
      <c r="J64" s="20"/>
      <c r="K64" s="26"/>
    </row>
    <row r="65" spans="1:11" ht="15.75" customHeight="1">
      <c r="A65" s="19"/>
      <c r="B65" s="20"/>
      <c r="C65" s="20"/>
      <c r="D65" s="23"/>
      <c r="E65" s="23"/>
      <c r="F65" s="155"/>
      <c r="G65" s="156"/>
      <c r="H65" s="20"/>
      <c r="I65" s="20"/>
      <c r="J65" s="20"/>
      <c r="K65" s="26"/>
    </row>
    <row r="66" spans="1:11" ht="15.75" customHeight="1">
      <c r="A66" s="157"/>
      <c r="B66" s="158"/>
      <c r="C66" s="158"/>
      <c r="D66" s="159"/>
      <c r="E66" s="159"/>
      <c r="F66" s="158"/>
      <c r="G66" s="160"/>
      <c r="H66" s="158"/>
      <c r="I66" s="158"/>
      <c r="J66" s="158"/>
      <c r="K66" s="161"/>
    </row>
    <row r="67" ht="15.75" customHeight="1">
      <c r="D67" s="162"/>
    </row>
    <row r="68" spans="3:7" ht="15.75" customHeight="1">
      <c r="C68" s="163"/>
      <c r="D68" s="162"/>
      <c r="E68" s="164"/>
      <c r="F68" s="165"/>
      <c r="G68" s="166"/>
    </row>
    <row r="69" spans="4:29" ht="15.75" customHeight="1">
      <c r="D69" s="162"/>
      <c r="E69" s="164"/>
      <c r="F69" s="165"/>
      <c r="G69" s="166"/>
      <c r="K69" s="167"/>
      <c r="AC69" s="13" t="b">
        <v>0</v>
      </c>
    </row>
    <row r="70" spans="11:29" ht="15.75" customHeight="1">
      <c r="K70" s="167"/>
      <c r="AC70" s="13" t="b">
        <v>1</v>
      </c>
    </row>
    <row r="71" ht="15.75" customHeight="1">
      <c r="K71" s="167"/>
    </row>
    <row r="72" ht="15.75" customHeight="1"/>
    <row r="73" ht="15.75" customHeight="1"/>
    <row r="74" ht="15.75" customHeight="1">
      <c r="AC74" s="13" t="b">
        <v>1</v>
      </c>
    </row>
    <row r="75" ht="15.75" customHeight="1">
      <c r="AC75" s="13" t="b">
        <v>0</v>
      </c>
    </row>
    <row r="82" spans="3:5" ht="13.5">
      <c r="C82" s="168"/>
      <c r="D82" s="169"/>
      <c r="E82" s="169"/>
    </row>
  </sheetData>
  <sheetProtection/>
  <mergeCells count="53">
    <mergeCell ref="M13:M14"/>
    <mergeCell ref="E56:F56"/>
    <mergeCell ref="B36:C36"/>
    <mergeCell ref="B38:C38"/>
    <mergeCell ref="I18:J18"/>
    <mergeCell ref="B24:C24"/>
    <mergeCell ref="B48:C48"/>
    <mergeCell ref="B49:C49"/>
    <mergeCell ref="B42:C42"/>
    <mergeCell ref="B45:C45"/>
    <mergeCell ref="M9:N9"/>
    <mergeCell ref="E63:F63"/>
    <mergeCell ref="B57:C57"/>
    <mergeCell ref="B61:D61"/>
    <mergeCell ref="E61:F61"/>
    <mergeCell ref="B62:C62"/>
    <mergeCell ref="E62:F62"/>
    <mergeCell ref="I51:J51"/>
    <mergeCell ref="B47:C47"/>
    <mergeCell ref="B50:C50"/>
    <mergeCell ref="B30:C30"/>
    <mergeCell ref="M33:M34"/>
    <mergeCell ref="M16:M17"/>
    <mergeCell ref="M22:N22"/>
    <mergeCell ref="M19:M20"/>
    <mergeCell ref="M28:O28"/>
    <mergeCell ref="M29:M30"/>
    <mergeCell ref="B18:C18"/>
    <mergeCell ref="B16:C16"/>
    <mergeCell ref="Q30:R31"/>
    <mergeCell ref="M31:M32"/>
    <mergeCell ref="B31:C31"/>
    <mergeCell ref="B23:C23"/>
    <mergeCell ref="B28:C28"/>
    <mergeCell ref="I23:J23"/>
    <mergeCell ref="I28:J28"/>
    <mergeCell ref="B27:C27"/>
    <mergeCell ref="I57:J57"/>
    <mergeCell ref="I45:J45"/>
    <mergeCell ref="I39:J39"/>
    <mergeCell ref="I33:J33"/>
    <mergeCell ref="I13:J13"/>
    <mergeCell ref="B13:C13"/>
    <mergeCell ref="B21:C21"/>
    <mergeCell ref="B22:C22"/>
    <mergeCell ref="B15:C15"/>
    <mergeCell ref="B17:C17"/>
    <mergeCell ref="B43:C43"/>
    <mergeCell ref="B33:C33"/>
    <mergeCell ref="B34:C34"/>
    <mergeCell ref="B56:D56"/>
    <mergeCell ref="B51:C51"/>
    <mergeCell ref="B52:C52"/>
  </mergeCells>
  <conditionalFormatting sqref="J34:J37">
    <cfRule type="cellIs" priority="1" dxfId="0" operator="equal" stopIfTrue="1">
      <formula>$D$31</formula>
    </cfRule>
  </conditionalFormatting>
  <conditionalFormatting sqref="J24:J26">
    <cfRule type="cellIs" priority="2" dxfId="0" operator="equal" stopIfTrue="1">
      <formula>$D$23</formula>
    </cfRule>
  </conditionalFormatting>
  <conditionalFormatting sqref="J29:J31">
    <cfRule type="cellIs" priority="3" dxfId="0" operator="equal" stopIfTrue="1">
      <formula>$D$27</formula>
    </cfRule>
  </conditionalFormatting>
  <conditionalFormatting sqref="J41">
    <cfRule type="expression" priority="4" dxfId="0" stopIfTrue="1">
      <formula>$D$27=25</formula>
    </cfRule>
  </conditionalFormatting>
  <conditionalFormatting sqref="J42">
    <cfRule type="expression" priority="5" dxfId="0" stopIfTrue="1">
      <formula>$D$27=50</formula>
    </cfRule>
  </conditionalFormatting>
  <conditionalFormatting sqref="J43">
    <cfRule type="expression" priority="6" dxfId="0" stopIfTrue="1">
      <formula>$D$27=75</formula>
    </cfRule>
  </conditionalFormatting>
  <conditionalFormatting sqref="J46:J47">
    <cfRule type="cellIs" priority="7" dxfId="0" operator="equal" stopIfTrue="1">
      <formula>$D$43</formula>
    </cfRule>
  </conditionalFormatting>
  <conditionalFormatting sqref="J19:J21 I14:J16">
    <cfRule type="cellIs" priority="8" dxfId="0" operator="equal" stopIfTrue="1">
      <formula>$D$12</formula>
    </cfRule>
  </conditionalFormatting>
  <conditionalFormatting sqref="C58">
    <cfRule type="expression" priority="9" dxfId="0" stopIfTrue="1">
      <formula>$G$58&gt;0</formula>
    </cfRule>
  </conditionalFormatting>
  <conditionalFormatting sqref="C59">
    <cfRule type="expression" priority="10" dxfId="0" stopIfTrue="1">
      <formula>$G$59&gt;0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80.140625" style="3" customWidth="1"/>
  </cols>
  <sheetData>
    <row r="1" s="1" customFormat="1" ht="66" customHeight="1">
      <c r="A1" s="4"/>
    </row>
    <row r="2" s="1" customFormat="1" ht="12.75">
      <c r="A2" s="4"/>
    </row>
    <row r="3" s="1" customFormat="1" ht="12.75">
      <c r="A3" s="4"/>
    </row>
    <row r="4" spans="1:15" ht="12.75">
      <c r="A4" s="5" t="s">
        <v>103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6" t="s">
        <v>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6" t="s">
        <v>125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customHeight="1">
      <c r="A8" s="6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" customHeight="1">
      <c r="A9" s="6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.75" customHeight="1">
      <c r="A10" s="4" t="s">
        <v>111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4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4" t="s">
        <v>116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 t="s">
        <v>100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128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>
      <c r="A19" s="4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4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7" t="s">
        <v>130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4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4" t="s">
        <v>122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6.75" customHeight="1">
      <c r="A28" s="4" t="s">
        <v>123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2008-09-10T13:14:45Z</cp:lastPrinted>
  <dcterms:created xsi:type="dcterms:W3CDTF">2006-05-11T14:34:13Z</dcterms:created>
  <dcterms:modified xsi:type="dcterms:W3CDTF">2014-06-27T08:20:00Z</dcterms:modified>
  <cp:category/>
  <cp:version/>
  <cp:contentType/>
  <cp:contentStatus/>
</cp:coreProperties>
</file>