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84" activeTab="1"/>
  </bookViews>
  <sheets>
    <sheet name="Abonado" sheetId="1" r:id="rId1"/>
    <sheet name="Metodología" sheetId="2" r:id="rId2"/>
  </sheets>
  <definedNames>
    <definedName name="_xlnm.Print_Area" localSheetId="0">'Abonado'!$B$2:$J$59</definedName>
    <definedName name="_xlnm.Print_Area" localSheetId="1">'Metodología'!$A$1:$A$35</definedName>
  </definedNames>
  <calcPr fullCalcOnLoad="1"/>
</workbook>
</file>

<file path=xl/sharedStrings.xml><?xml version="1.0" encoding="utf-8"?>
<sst xmlns="http://schemas.openxmlformats.org/spreadsheetml/2006/main" count="176" uniqueCount="132">
  <si>
    <t>OPERACIÓN: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</si>
  <si>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</si>
  <si>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</si>
  <si>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</si>
  <si>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</si>
  <si>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</si>
  <si>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</si>
  <si>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</si>
  <si>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</si>
  <si>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</si>
  <si>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</si>
  <si>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</si>
  <si>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</si>
  <si>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</si>
  <si>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</si>
  <si>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</si>
  <si>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</si>
  <si>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</si>
  <si>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</si>
  <si>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</si>
  <si>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</si>
  <si>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</si>
  <si>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</si>
  <si>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</si>
  <si>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</si>
  <si>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</si>
  <si>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</si>
  <si>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</si>
  <si>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</si>
  <si>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</si>
  <si>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</si>
  <si>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</si>
  <si>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</si>
  <si>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</si>
  <si>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</si>
  <si>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</si>
  <si>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</si>
  <si>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</si>
  <si>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</si>
  <si>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</si>
  <si>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</si>
  <si>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</si>
  <si>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</si>
  <si>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</si>
  <si>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</si>
  <si>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</si>
  <si>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</si>
  <si>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</si>
  <si>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</si>
  <si>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</si>
  <si>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</si>
  <si>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Potencia de tracción</t>
  </si>
  <si>
    <t>Capacidad de la tolva</t>
  </si>
  <si>
    <t>Peso apero (vacío)</t>
  </si>
  <si>
    <t>consumos</t>
  </si>
  <si>
    <t>anchura alta</t>
  </si>
  <si>
    <t>anchura normal</t>
  </si>
  <si>
    <t>RESULTADOS MAPA</t>
  </si>
  <si>
    <t>L</t>
  </si>
  <si>
    <t>Anchura apero (m)</t>
  </si>
  <si>
    <t>Abonado</t>
  </si>
  <si>
    <t>Abonadora centrífuga arrastrada</t>
  </si>
  <si>
    <t>Nivel de carga del tractor</t>
  </si>
  <si>
    <t>Potencia necesaria</t>
  </si>
  <si>
    <t>Pequeño</t>
  </si>
  <si>
    <t>Coef. Esfuerzo tracción</t>
  </si>
  <si>
    <t>Bajo</t>
  </si>
  <si>
    <t>Medio</t>
  </si>
  <si>
    <t>Alto</t>
  </si>
  <si>
    <t>Incremento por pot. tdf</t>
  </si>
  <si>
    <t>Anchura trabajo apero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</si>
  <si>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</si>
  <si>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</si>
  <si>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</si>
  <si>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</si>
  <si>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</si>
  <si>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</si>
  <si>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</si>
  <si>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</si>
  <si>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0,75 L/ha</t>
  </si>
  <si>
    <t>1,5 L/ha</t>
  </si>
  <si>
    <t>No hay datos de ASAE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</si>
  <si>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</si>
  <si>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</si>
  <si>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</si>
  <si>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</si>
  <si>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</si>
  <si>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</si>
  <si>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</si>
  <si>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</si>
  <si>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</si>
  <si>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</si>
  <si>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</si>
  <si>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</si>
  <si>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</si>
  <si>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</si>
  <si>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</si>
  <si>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</si>
  <si>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</si>
  <si>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 xml:space="preserve"> +combustible</t>
  </si>
  <si>
    <t>TRACTOR + APERO</t>
  </si>
  <si>
    <t>Abonado con abonadora centrífuga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</si>
  <si>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</si>
  <si>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</si>
  <si>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</si>
  <si>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Abonadora centrífuga (doble disco)</t>
  </si>
  <si>
    <t>Abonadora centrífuga (1 disco / pendular)</t>
  </si>
  <si>
    <t>Precio abonadora (€/máquina)</t>
  </si>
  <si>
    <t>Pequeña</t>
  </si>
  <si>
    <t xml:space="preserve"> €/kW de potencia</t>
  </si>
  <si>
    <t>Precio adquisición tractor</t>
  </si>
  <si>
    <t>-          Anchura de trabajo del apero: Alta (24 m) y baja (16 m). El tipo de abonadora se genera según la anchura de trabajo elegida.</t>
  </si>
  <si>
    <t>-          Capacidad de la tolva: Se genera automáticamente en la ficha dependiendo de los valores de anchura de trabajo, de manera que para 16 m tiene una capacidad de 800 L y para 24 m de 1.400 L.</t>
  </si>
  <si>
    <t>-          Peso del apero en vacío: Se ha tomado como la mitad de la capacidad de la tolva.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</si>
  <si>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</si>
  <si>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</si>
  <si>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>-          Velocidad de trabajo: Es un tomado de las velocidades recomendadas de trabajo.</t>
  </si>
  <si>
    <t>-          Coeficiente de esfuerzo de tracción: Se ha tomado un valor de 0,1.</t>
  </si>
  <si>
    <t>-          Incremento de la potencia por potencia consumida a la toma de fuerza: Se considera que la potencia aumenta un 25% con respecto a la de tracción.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</si>
  <si>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</si>
  <si>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</si>
  <si>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(40 h/año) y alta (80 h/año)</t>
  </si>
  <si>
    <t>-          Amortización por desgaste: 800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</si>
  <si>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</si>
  <si>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</si>
  <si>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</si>
  <si>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0,30 €/ha</t>
  </si>
  <si>
    <t>-          Utilización anual tractor auxiliar: Se han estimado dos rangos diferentes de trabajo, 500 y 1.000 h/año.</t>
  </si>
  <si>
    <t>-          Coste de combustible: 1,00 €/L</t>
  </si>
  <si>
    <t>€/kL</t>
  </si>
  <si>
    <t>-          Precio de adquisición: Estimado en 5.700 € por cada 1000 litros de capacidad de tolva.</t>
  </si>
  <si>
    <t>-          Interés: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</si>
</sst>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justify" wrapText="1"/>
    </xf>
    <xf numFmtId="49" fontId="0" fillId="33" borderId="0" xfId="0" applyNumberFormat="1" applyFill="1" applyAlignment="1">
      <alignment horizontal="justify"/>
    </xf>
    <xf numFmtId="0" fontId="0" fillId="33" borderId="0" xfId="0" applyFill="1" applyAlignment="1">
      <alignment horizontal="justify"/>
    </xf>
    <xf numFmtId="0" fontId="0" fillId="0" borderId="0" xfId="0" applyAlignment="1">
      <alignment horizontal="justify"/>
    </xf>
    <xf numFmtId="49" fontId="4" fillId="34" borderId="0" xfId="0" applyNumberFormat="1" applyFont="1" applyFill="1" applyAlignment="1">
      <alignment horizontal="left"/>
    </xf>
    <xf numFmtId="49" fontId="5" fillId="34" borderId="0" xfId="0" applyNumberFormat="1" applyFont="1" applyFill="1" applyAlignment="1">
      <alignment horizontal="left"/>
    </xf>
    <xf numFmtId="49" fontId="4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9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10" fillId="0" borderId="15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33" borderId="16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0" borderId="15" xfId="0" applyNumberFormat="1" applyFont="1" applyBorder="1" applyAlignment="1" applyProtection="1">
      <alignment horizontal="center"/>
      <protection/>
    </xf>
    <xf numFmtId="3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>
      <alignment horizontal="center"/>
    </xf>
    <xf numFmtId="165" fontId="6" fillId="34" borderId="0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/>
    </xf>
    <xf numFmtId="0" fontId="12" fillId="0" borderId="15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Alignment="1" applyProtection="1">
      <alignment horizontal="center"/>
      <protection locked="0"/>
    </xf>
    <xf numFmtId="2" fontId="13" fillId="33" borderId="20" xfId="0" applyNumberFormat="1" applyFont="1" applyFill="1" applyBorder="1" applyAlignment="1" applyProtection="1">
      <alignment horizontal="center"/>
      <protection hidden="1" locked="0"/>
    </xf>
    <xf numFmtId="0" fontId="7" fillId="33" borderId="21" xfId="0" applyFont="1" applyFill="1" applyBorder="1" applyAlignment="1">
      <alignment horizontal="center"/>
    </xf>
    <xf numFmtId="0" fontId="6" fillId="0" borderId="15" xfId="0" applyFont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 horizontal="center"/>
      <protection hidden="1"/>
    </xf>
    <xf numFmtId="165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11" fillId="33" borderId="22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164" fontId="12" fillId="33" borderId="16" xfId="0" applyNumberFormat="1" applyFont="1" applyFill="1" applyBorder="1" applyAlignment="1" applyProtection="1">
      <alignment horizontal="center"/>
      <protection hidden="1"/>
    </xf>
    <xf numFmtId="0" fontId="11" fillId="33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0" fillId="0" borderId="15" xfId="0" applyNumberFormat="1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/>
      <protection hidden="1" locked="0"/>
    </xf>
    <xf numFmtId="0" fontId="7" fillId="33" borderId="14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34" borderId="14" xfId="0" applyFont="1" applyFill="1" applyBorder="1" applyAlignment="1">
      <alignment horizontal="center"/>
    </xf>
    <xf numFmtId="2" fontId="10" fillId="33" borderId="20" xfId="0" applyNumberFormat="1" applyFont="1" applyFill="1" applyBorder="1" applyAlignment="1" applyProtection="1">
      <alignment horizontal="center"/>
      <protection hidden="1" locked="0"/>
    </xf>
    <xf numFmtId="0" fontId="7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/>
    </xf>
    <xf numFmtId="1" fontId="7" fillId="34" borderId="14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>
      <alignment/>
    </xf>
    <xf numFmtId="0" fontId="16" fillId="0" borderId="15" xfId="0" applyFont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2" fontId="12" fillId="34" borderId="0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6" fillId="36" borderId="15" xfId="0" applyFont="1" applyFill="1" applyBorder="1" applyAlignment="1" applyProtection="1">
      <alignment/>
      <protection hidden="1"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0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1" fillId="34" borderId="16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2" fontId="12" fillId="34" borderId="16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2" fontId="17" fillId="37" borderId="24" xfId="0" applyNumberFormat="1" applyFont="1" applyFill="1" applyBorder="1" applyAlignment="1" applyProtection="1">
      <alignment horizontal="center" vertical="center"/>
      <protection hidden="1"/>
    </xf>
    <xf numFmtId="2" fontId="17" fillId="37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6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Relationship Id="rId5" Type="http://schemas.openxmlformats.org/officeDocument/2006/relationships/image" Target="../media/image17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Relationship Id="rId10" Type="http://schemas.openxmlformats.org/officeDocument/2006/relationships/image" Target="../media/image11.emf" /><Relationship Id="rId11" Type="http://schemas.openxmlformats.org/officeDocument/2006/relationships/image" Target="../media/image1.emf" /><Relationship Id="rId12" Type="http://schemas.openxmlformats.org/officeDocument/2006/relationships/image" Target="../media/image15.emf" /><Relationship Id="rId13" Type="http://schemas.openxmlformats.org/officeDocument/2006/relationships/image" Target="../media/image14.emf" /><Relationship Id="rId14" Type="http://schemas.openxmlformats.org/officeDocument/2006/relationships/image" Target="../media/image10.emf" /><Relationship Id="rId15" Type="http://schemas.openxmlformats.org/officeDocument/2006/relationships/image" Target="../media/image18.emf" /><Relationship Id="rId16" Type="http://schemas.openxmlformats.org/officeDocument/2006/relationships/image" Target="../media/image7.emf" /><Relationship Id="rId1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</xdr:row>
      <xdr:rowOff>19050</xdr:rowOff>
    </xdr:to>
    <xdr:pic>
      <xdr:nvPicPr>
        <xdr:cNvPr id="1" name="1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10</xdr:row>
      <xdr:rowOff>19050</xdr:rowOff>
    </xdr:from>
    <xdr:to>
      <xdr:col>7</xdr:col>
      <xdr:colOff>228600</xdr:colOff>
      <xdr:row>11</xdr:row>
      <xdr:rowOff>9525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695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11</xdr:row>
      <xdr:rowOff>38100</xdr:rowOff>
    </xdr:from>
    <xdr:to>
      <xdr:col>7</xdr:col>
      <xdr:colOff>228600</xdr:colOff>
      <xdr:row>12</xdr:row>
      <xdr:rowOff>19050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905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12</xdr:row>
      <xdr:rowOff>19050</xdr:rowOff>
    </xdr:from>
    <xdr:to>
      <xdr:col>7</xdr:col>
      <xdr:colOff>228600</xdr:colOff>
      <xdr:row>13</xdr:row>
      <xdr:rowOff>9525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307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19050</xdr:rowOff>
    </xdr:from>
    <xdr:to>
      <xdr:col>7</xdr:col>
      <xdr:colOff>228600</xdr:colOff>
      <xdr:row>16</xdr:row>
      <xdr:rowOff>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36480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16</xdr:row>
      <xdr:rowOff>0</xdr:rowOff>
    </xdr:from>
    <xdr:to>
      <xdr:col>7</xdr:col>
      <xdr:colOff>228600</xdr:colOff>
      <xdr:row>16</xdr:row>
      <xdr:rowOff>123825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38195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9525</xdr:rowOff>
    </xdr:from>
    <xdr:to>
      <xdr:col>7</xdr:col>
      <xdr:colOff>228600</xdr:colOff>
      <xdr:row>17</xdr:row>
      <xdr:rowOff>133350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40195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6</xdr:row>
      <xdr:rowOff>38100</xdr:rowOff>
    </xdr:from>
    <xdr:to>
      <xdr:col>7</xdr:col>
      <xdr:colOff>238125</xdr:colOff>
      <xdr:row>7</xdr:row>
      <xdr:rowOff>19050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81550" y="19621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7</xdr:row>
      <xdr:rowOff>19050</xdr:rowOff>
    </xdr:from>
    <xdr:to>
      <xdr:col>7</xdr:col>
      <xdr:colOff>219075</xdr:colOff>
      <xdr:row>8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2133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20</xdr:row>
      <xdr:rowOff>38100</xdr:rowOff>
    </xdr:from>
    <xdr:to>
      <xdr:col>7</xdr:col>
      <xdr:colOff>219075</xdr:colOff>
      <xdr:row>21</xdr:row>
      <xdr:rowOff>19050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46196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21</xdr:row>
      <xdr:rowOff>38100</xdr:rowOff>
    </xdr:from>
    <xdr:to>
      <xdr:col>7</xdr:col>
      <xdr:colOff>219075</xdr:colOff>
      <xdr:row>22</xdr:row>
      <xdr:rowOff>19050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72025" y="48101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22</xdr:row>
      <xdr:rowOff>19050</xdr:rowOff>
    </xdr:from>
    <xdr:to>
      <xdr:col>7</xdr:col>
      <xdr:colOff>219075</xdr:colOff>
      <xdr:row>23</xdr:row>
      <xdr:rowOff>9525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72025" y="4981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23</xdr:row>
      <xdr:rowOff>38100</xdr:rowOff>
    </xdr:from>
    <xdr:to>
      <xdr:col>7</xdr:col>
      <xdr:colOff>219075</xdr:colOff>
      <xdr:row>24</xdr:row>
      <xdr:rowOff>19050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72025" y="5191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53</xdr:row>
      <xdr:rowOff>9525</xdr:rowOff>
    </xdr:from>
    <xdr:to>
      <xdr:col>1</xdr:col>
      <xdr:colOff>257175</xdr:colOff>
      <xdr:row>54</xdr:row>
      <xdr:rowOff>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109537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54</xdr:row>
      <xdr:rowOff>9525</xdr:rowOff>
    </xdr:from>
    <xdr:to>
      <xdr:col>1</xdr:col>
      <xdr:colOff>257175</xdr:colOff>
      <xdr:row>54</xdr:row>
      <xdr:rowOff>152400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1172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38</xdr:row>
      <xdr:rowOff>19050</xdr:rowOff>
    </xdr:from>
    <xdr:to>
      <xdr:col>7</xdr:col>
      <xdr:colOff>238125</xdr:colOff>
      <xdr:row>39</xdr:row>
      <xdr:rowOff>9525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91075" y="7972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39</xdr:row>
      <xdr:rowOff>38100</xdr:rowOff>
    </xdr:from>
    <xdr:to>
      <xdr:col>7</xdr:col>
      <xdr:colOff>238125</xdr:colOff>
      <xdr:row>40</xdr:row>
      <xdr:rowOff>19050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91075" y="81819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0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AH68"/>
  <sheetViews>
    <sheetView showZeros="0" zoomScalePageLayoutView="0" workbookViewId="0" topLeftCell="A40">
      <selection activeCell="W1" sqref="W1"/>
    </sheetView>
  </sheetViews>
  <sheetFormatPr defaultColWidth="11.57421875" defaultRowHeight="12.75"/>
  <cols>
    <col min="1" max="1" width="2.8515625" style="14" customWidth="1"/>
    <col min="2" max="2" width="4.7109375" style="14" customWidth="1"/>
    <col min="3" max="3" width="27.28125" style="14" customWidth="1"/>
    <col min="4" max="4" width="13.140625" style="15" customWidth="1"/>
    <col min="5" max="5" width="8.8515625" style="15" customWidth="1"/>
    <col min="6" max="6" width="7.00390625" style="14" customWidth="1"/>
    <col min="7" max="7" width="6.57421875" style="16" customWidth="1"/>
    <col min="8" max="8" width="4.140625" style="14" customWidth="1"/>
    <col min="9" max="9" width="12.421875" style="14" customWidth="1"/>
    <col min="10" max="10" width="19.28125" style="14" customWidth="1"/>
    <col min="11" max="12" width="5.7109375" style="14" customWidth="1"/>
    <col min="13" max="13" width="15.7109375" style="14" hidden="1" customWidth="1"/>
    <col min="14" max="14" width="9.28125" style="14" hidden="1" customWidth="1"/>
    <col min="15" max="15" width="8.140625" style="14" hidden="1" customWidth="1"/>
    <col min="16" max="16" width="10.421875" style="14" hidden="1" customWidth="1"/>
    <col min="17" max="17" width="7.140625" style="14" hidden="1" customWidth="1"/>
    <col min="18" max="18" width="10.421875" style="14" hidden="1" customWidth="1"/>
    <col min="19" max="19" width="9.57421875" style="14" hidden="1" customWidth="1"/>
    <col min="20" max="20" width="0" style="14" hidden="1" customWidth="1"/>
    <col min="21" max="21" width="18.140625" style="14" hidden="1" customWidth="1"/>
    <col min="22" max="22" width="12.00390625" style="14" hidden="1" customWidth="1"/>
    <col min="23" max="24" width="6.57421875" style="14" customWidth="1"/>
    <col min="25" max="26" width="10.7109375" style="14" customWidth="1"/>
    <col min="27" max="29" width="11.57421875" style="14" customWidth="1"/>
    <col min="30" max="30" width="11.421875" style="17" hidden="1" customWidth="1"/>
    <col min="31" max="36" width="0" style="14" hidden="1" customWidth="1"/>
    <col min="37" max="16384" width="11.57421875" style="14" customWidth="1"/>
  </cols>
  <sheetData>
    <row r="1" ht="80.25" customHeight="1"/>
    <row r="2" spans="1:11" ht="14.25">
      <c r="A2" s="18"/>
      <c r="B2" s="19"/>
      <c r="C2" s="19"/>
      <c r="D2" s="20"/>
      <c r="E2" s="20"/>
      <c r="F2" s="19"/>
      <c r="G2" s="19"/>
      <c r="H2" s="21"/>
      <c r="I2" s="19"/>
      <c r="J2" s="19"/>
      <c r="K2" s="22"/>
    </row>
    <row r="3" spans="1:34" ht="12.75" customHeight="1">
      <c r="A3" s="23"/>
      <c r="B3" s="24"/>
      <c r="C3" s="25" t="s">
        <v>0</v>
      </c>
      <c r="D3" s="26" t="s">
        <v>60</v>
      </c>
      <c r="E3" s="27"/>
      <c r="F3" s="27"/>
      <c r="G3" s="28"/>
      <c r="H3" s="29"/>
      <c r="I3" s="24"/>
      <c r="J3" s="24"/>
      <c r="K3" s="30"/>
      <c r="M3" s="166" t="s">
        <v>90</v>
      </c>
      <c r="N3" s="167"/>
      <c r="AG3" s="17"/>
      <c r="AH3" s="17" t="s">
        <v>61</v>
      </c>
    </row>
    <row r="4" spans="1:34" ht="14.25" customHeight="1">
      <c r="A4" s="23"/>
      <c r="B4" s="24"/>
      <c r="C4" s="25" t="s">
        <v>1</v>
      </c>
      <c r="D4" s="31" t="str">
        <f>IF(D6=16,"Abonadora centrífuga (1 disco/pendular)","Abonadora centrífuga (doble disco)")</f>
        <v>Abonadora centrífuga (1 disco/pendular)</v>
      </c>
      <c r="E4" s="32"/>
      <c r="F4" s="32"/>
      <c r="G4" s="24"/>
      <c r="H4" s="24"/>
      <c r="I4" s="24"/>
      <c r="J4" s="24"/>
      <c r="K4" s="33"/>
      <c r="AG4" s="17" t="s">
        <v>106</v>
      </c>
      <c r="AH4" s="17"/>
    </row>
    <row r="5" spans="1:34" ht="15">
      <c r="A5" s="23"/>
      <c r="B5" s="24"/>
      <c r="C5" s="24"/>
      <c r="D5" s="32"/>
      <c r="E5" s="32"/>
      <c r="F5" s="32"/>
      <c r="G5" s="34"/>
      <c r="H5" s="24"/>
      <c r="I5" s="24"/>
      <c r="J5" s="24"/>
      <c r="K5" s="33"/>
      <c r="AD5" s="17" t="b">
        <v>0</v>
      </c>
      <c r="AG5" s="17" t="s">
        <v>105</v>
      </c>
      <c r="AH5" s="17"/>
    </row>
    <row r="6" spans="1:33" ht="15">
      <c r="A6" s="23"/>
      <c r="B6" s="163" t="s">
        <v>70</v>
      </c>
      <c r="C6" s="164"/>
      <c r="D6" s="35">
        <f>IF(AD9=TRUE,J7,IF(AD10=TRUE,J8,))</f>
        <v>16</v>
      </c>
      <c r="E6" s="36" t="s">
        <v>4</v>
      </c>
      <c r="F6" s="24"/>
      <c r="G6" s="24"/>
      <c r="H6" s="29"/>
      <c r="I6" s="186" t="s">
        <v>59</v>
      </c>
      <c r="J6" s="187"/>
      <c r="K6" s="37"/>
      <c r="AD6" s="17" t="b">
        <v>1</v>
      </c>
      <c r="AG6" s="38"/>
    </row>
    <row r="7" spans="1:11" ht="15">
      <c r="A7" s="23"/>
      <c r="B7" s="161" t="s">
        <v>52</v>
      </c>
      <c r="C7" s="162"/>
      <c r="D7" s="41">
        <f>IF(D6=24,1400,800)</f>
        <v>800</v>
      </c>
      <c r="E7" s="42" t="s">
        <v>58</v>
      </c>
      <c r="F7" s="24"/>
      <c r="G7" s="24"/>
      <c r="H7" s="43"/>
      <c r="I7" s="44" t="s">
        <v>2</v>
      </c>
      <c r="J7" s="45">
        <v>16</v>
      </c>
      <c r="K7" s="37"/>
    </row>
    <row r="8" spans="1:11" ht="15">
      <c r="A8" s="23"/>
      <c r="B8" s="161" t="s">
        <v>53</v>
      </c>
      <c r="C8" s="162"/>
      <c r="D8" s="46">
        <f>0.5*D7</f>
        <v>400</v>
      </c>
      <c r="E8" s="42" t="s">
        <v>7</v>
      </c>
      <c r="F8" s="24"/>
      <c r="G8" s="24"/>
      <c r="H8" s="43"/>
      <c r="I8" s="44" t="s">
        <v>5</v>
      </c>
      <c r="J8" s="45">
        <v>24</v>
      </c>
      <c r="K8" s="37"/>
    </row>
    <row r="9" spans="1:30" ht="14.25">
      <c r="A9" s="23"/>
      <c r="B9" s="47"/>
      <c r="C9" s="48"/>
      <c r="D9" s="46"/>
      <c r="E9" s="49"/>
      <c r="F9" s="24"/>
      <c r="G9" s="24"/>
      <c r="H9" s="29"/>
      <c r="I9" s="24"/>
      <c r="J9" s="24"/>
      <c r="K9" s="37"/>
      <c r="AD9" s="17" t="b">
        <v>1</v>
      </c>
    </row>
    <row r="10" spans="1:33" ht="15">
      <c r="A10" s="23"/>
      <c r="B10" s="161" t="s">
        <v>50</v>
      </c>
      <c r="C10" s="162"/>
      <c r="D10" s="46">
        <v>10</v>
      </c>
      <c r="E10" s="42" t="s">
        <v>6</v>
      </c>
      <c r="F10" s="24"/>
      <c r="G10" s="24"/>
      <c r="H10" s="29"/>
      <c r="I10" s="186" t="s">
        <v>8</v>
      </c>
      <c r="J10" s="187"/>
      <c r="K10" s="30"/>
      <c r="AD10" s="17" t="b">
        <v>0</v>
      </c>
      <c r="AG10" s="38"/>
    </row>
    <row r="11" spans="1:11" ht="15">
      <c r="A11" s="23"/>
      <c r="B11" s="161" t="s">
        <v>65</v>
      </c>
      <c r="C11" s="162"/>
      <c r="D11" s="46">
        <v>0.1</v>
      </c>
      <c r="E11" s="42"/>
      <c r="F11" s="24"/>
      <c r="G11" s="24"/>
      <c r="H11" s="43"/>
      <c r="I11" s="44" t="s">
        <v>2</v>
      </c>
      <c r="J11" s="50">
        <v>0.35</v>
      </c>
      <c r="K11" s="37"/>
    </row>
    <row r="12" spans="1:11" ht="15">
      <c r="A12" s="23"/>
      <c r="B12" s="161" t="s">
        <v>51</v>
      </c>
      <c r="C12" s="162"/>
      <c r="D12" s="51">
        <f>(D7+D8)*D11*9.8*D10/3600</f>
        <v>3.2666666666666666</v>
      </c>
      <c r="E12" s="42" t="s">
        <v>42</v>
      </c>
      <c r="F12" s="24"/>
      <c r="G12" s="24"/>
      <c r="H12" s="43"/>
      <c r="I12" s="44" t="s">
        <v>3</v>
      </c>
      <c r="J12" s="50">
        <v>0.5</v>
      </c>
      <c r="K12" s="37"/>
    </row>
    <row r="13" spans="1:30" ht="15">
      <c r="A13" s="23"/>
      <c r="B13" s="161" t="s">
        <v>69</v>
      </c>
      <c r="C13" s="162"/>
      <c r="D13" s="51">
        <v>25</v>
      </c>
      <c r="E13" s="42" t="s">
        <v>14</v>
      </c>
      <c r="F13" s="24"/>
      <c r="G13" s="24"/>
      <c r="H13" s="43"/>
      <c r="I13" s="44" t="s">
        <v>5</v>
      </c>
      <c r="J13" s="50">
        <v>0.65</v>
      </c>
      <c r="K13" s="37"/>
      <c r="AD13" s="17" t="b">
        <v>0</v>
      </c>
    </row>
    <row r="14" spans="1:30" ht="15">
      <c r="A14" s="23"/>
      <c r="B14" s="161" t="s">
        <v>63</v>
      </c>
      <c r="C14" s="162"/>
      <c r="D14" s="51">
        <f>D12*(1+D13/100)</f>
        <v>4.083333333333333</v>
      </c>
      <c r="E14" s="42" t="s">
        <v>42</v>
      </c>
      <c r="F14" s="24"/>
      <c r="G14" s="24"/>
      <c r="H14" s="29"/>
      <c r="I14" s="24"/>
      <c r="J14" s="24"/>
      <c r="K14" s="37"/>
      <c r="L14" s="52"/>
      <c r="AD14" s="17" t="b">
        <v>1</v>
      </c>
    </row>
    <row r="15" spans="1:30" ht="15">
      <c r="A15" s="23"/>
      <c r="B15" s="39"/>
      <c r="C15" s="40"/>
      <c r="D15" s="51">
        <f>D14*1.36</f>
        <v>5.553333333333334</v>
      </c>
      <c r="E15" s="42" t="s">
        <v>13</v>
      </c>
      <c r="F15" s="24"/>
      <c r="G15" s="24"/>
      <c r="H15" s="29"/>
      <c r="I15" s="186" t="s">
        <v>12</v>
      </c>
      <c r="J15" s="187"/>
      <c r="K15" s="37"/>
      <c r="L15" s="52"/>
      <c r="M15" s="190" t="s">
        <v>81</v>
      </c>
      <c r="N15" s="190"/>
      <c r="AD15" s="17" t="b">
        <v>0</v>
      </c>
    </row>
    <row r="16" spans="1:12" ht="15">
      <c r="A16" s="23"/>
      <c r="B16" s="161" t="s">
        <v>82</v>
      </c>
      <c r="C16" s="162"/>
      <c r="D16" s="51">
        <f>D15/0.75</f>
        <v>7.404444444444445</v>
      </c>
      <c r="E16" s="42" t="s">
        <v>13</v>
      </c>
      <c r="F16" s="24"/>
      <c r="G16" s="24"/>
      <c r="H16" s="43"/>
      <c r="I16" s="44" t="s">
        <v>66</v>
      </c>
      <c r="J16" s="50">
        <v>25</v>
      </c>
      <c r="K16" s="37"/>
      <c r="L16" s="52"/>
    </row>
    <row r="17" spans="1:12" ht="15">
      <c r="A17" s="23"/>
      <c r="B17" s="47"/>
      <c r="C17" s="48"/>
      <c r="D17" s="51"/>
      <c r="E17" s="42"/>
      <c r="F17" s="24"/>
      <c r="G17" s="24"/>
      <c r="H17" s="43"/>
      <c r="I17" s="44" t="s">
        <v>67</v>
      </c>
      <c r="J17" s="50">
        <v>50</v>
      </c>
      <c r="K17" s="37"/>
      <c r="L17" s="52"/>
    </row>
    <row r="18" spans="1:18" ht="15">
      <c r="A18" s="23"/>
      <c r="B18" s="161" t="s">
        <v>76</v>
      </c>
      <c r="C18" s="162"/>
      <c r="D18" s="53">
        <f>10/(D10*D6)</f>
        <v>0.0625</v>
      </c>
      <c r="E18" s="42" t="s">
        <v>9</v>
      </c>
      <c r="F18" s="24"/>
      <c r="G18" s="24"/>
      <c r="H18" s="43"/>
      <c r="I18" s="44" t="s">
        <v>68</v>
      </c>
      <c r="J18" s="50">
        <v>75</v>
      </c>
      <c r="K18" s="37"/>
      <c r="M18" s="168" t="s">
        <v>57</v>
      </c>
      <c r="N18" s="169"/>
      <c r="O18" s="52"/>
      <c r="P18" s="52"/>
      <c r="Q18" s="54"/>
      <c r="R18" s="54"/>
    </row>
    <row r="19" spans="1:30" ht="15">
      <c r="A19" s="23"/>
      <c r="B19" s="161" t="s">
        <v>10</v>
      </c>
      <c r="C19" s="162"/>
      <c r="D19" s="46">
        <f>IF(AD13=TRUE,J11,IF(AD14=TRUE,J12,IF(AD15=TRUE,J13)))</f>
        <v>0.5</v>
      </c>
      <c r="E19" s="49"/>
      <c r="F19" s="24"/>
      <c r="G19" s="24"/>
      <c r="H19" s="29"/>
      <c r="I19" s="24"/>
      <c r="J19" s="24"/>
      <c r="K19" s="30"/>
      <c r="L19" s="52"/>
      <c r="M19" s="44"/>
      <c r="N19" s="44" t="s">
        <v>54</v>
      </c>
      <c r="O19" s="52"/>
      <c r="P19" s="52"/>
      <c r="Q19" s="54"/>
      <c r="R19" s="54"/>
      <c r="AD19" s="17" t="b">
        <v>1</v>
      </c>
    </row>
    <row r="20" spans="1:30" ht="15">
      <c r="A20" s="23"/>
      <c r="B20" s="196" t="s">
        <v>77</v>
      </c>
      <c r="C20" s="197"/>
      <c r="D20" s="57">
        <f>D18/D19</f>
        <v>0.125</v>
      </c>
      <c r="E20" s="58" t="s">
        <v>9</v>
      </c>
      <c r="F20" s="24"/>
      <c r="G20" s="24"/>
      <c r="H20" s="29"/>
      <c r="I20" s="186" t="s">
        <v>16</v>
      </c>
      <c r="J20" s="187"/>
      <c r="K20" s="37"/>
      <c r="L20" s="52"/>
      <c r="M20" s="44" t="s">
        <v>55</v>
      </c>
      <c r="N20" s="50" t="s">
        <v>79</v>
      </c>
      <c r="O20" s="52"/>
      <c r="Q20" s="54"/>
      <c r="R20" s="54"/>
      <c r="AD20" s="17" t="b">
        <v>0</v>
      </c>
    </row>
    <row r="21" spans="1:30" ht="15">
      <c r="A21" s="23"/>
      <c r="B21" s="59"/>
      <c r="C21" s="60"/>
      <c r="D21" s="57">
        <f>1/D20</f>
        <v>8</v>
      </c>
      <c r="E21" s="58" t="s">
        <v>11</v>
      </c>
      <c r="F21" s="24"/>
      <c r="G21" s="24"/>
      <c r="H21" s="43"/>
      <c r="I21" s="61" t="s">
        <v>64</v>
      </c>
      <c r="J21" s="62">
        <v>90</v>
      </c>
      <c r="K21" s="37"/>
      <c r="L21" s="52"/>
      <c r="M21" s="44" t="s">
        <v>56</v>
      </c>
      <c r="N21" s="50" t="s">
        <v>80</v>
      </c>
      <c r="O21" s="52"/>
      <c r="P21" s="52"/>
      <c r="Q21" s="54"/>
      <c r="R21" s="54"/>
      <c r="AD21" s="17" t="b">
        <v>0</v>
      </c>
    </row>
    <row r="22" spans="1:30" ht="15">
      <c r="A22" s="23"/>
      <c r="B22" s="59"/>
      <c r="C22" s="63"/>
      <c r="D22" s="46"/>
      <c r="E22" s="49"/>
      <c r="F22" s="24"/>
      <c r="G22" s="24"/>
      <c r="H22" s="43"/>
      <c r="I22" s="44" t="s">
        <v>17</v>
      </c>
      <c r="J22" s="50">
        <v>120</v>
      </c>
      <c r="K22" s="37"/>
      <c r="L22" s="52"/>
      <c r="N22" s="52"/>
      <c r="O22" s="54"/>
      <c r="P22" s="54"/>
      <c r="Q22" s="54"/>
      <c r="V22" s="64"/>
      <c r="W22" s="64"/>
      <c r="X22" s="64"/>
      <c r="Y22" s="64"/>
      <c r="Z22" s="64"/>
      <c r="AA22" s="64"/>
      <c r="AB22" s="64"/>
      <c r="AC22" s="64"/>
      <c r="AD22" s="17" t="b">
        <v>0</v>
      </c>
    </row>
    <row r="23" spans="1:30" ht="15">
      <c r="A23" s="23"/>
      <c r="B23" s="161" t="s">
        <v>62</v>
      </c>
      <c r="C23" s="162"/>
      <c r="D23" s="46">
        <f>IF(AD19=TRUE,J16,IF(AD20=TRUE,J17,IF(AD21=TRUE,J18)))</f>
        <v>25</v>
      </c>
      <c r="E23" s="42" t="s">
        <v>14</v>
      </c>
      <c r="F23" s="24"/>
      <c r="G23" s="24"/>
      <c r="H23" s="43"/>
      <c r="I23" s="44" t="s">
        <v>18</v>
      </c>
      <c r="J23" s="50">
        <v>150</v>
      </c>
      <c r="K23" s="37"/>
      <c r="L23" s="52"/>
      <c r="N23" s="52"/>
      <c r="P23" s="64"/>
      <c r="Q23" s="64"/>
      <c r="R23" s="64"/>
      <c r="S23" s="64"/>
      <c r="V23" s="54"/>
      <c r="W23" s="64"/>
      <c r="X23" s="64"/>
      <c r="Y23" s="64"/>
      <c r="Z23" s="64"/>
      <c r="AA23" s="64"/>
      <c r="AB23" s="64"/>
      <c r="AC23" s="64"/>
      <c r="AD23" s="17" t="b">
        <v>1</v>
      </c>
    </row>
    <row r="24" spans="1:30" ht="12.75" customHeight="1">
      <c r="A24" s="23"/>
      <c r="B24" s="161" t="s">
        <v>15</v>
      </c>
      <c r="C24" s="162"/>
      <c r="D24" s="51">
        <f>D16*100/D23</f>
        <v>29.61777777777778</v>
      </c>
      <c r="E24" s="42" t="s">
        <v>13</v>
      </c>
      <c r="F24" s="24"/>
      <c r="G24" s="24"/>
      <c r="H24" s="43"/>
      <c r="I24" s="44" t="s">
        <v>19</v>
      </c>
      <c r="J24" s="50">
        <v>180</v>
      </c>
      <c r="K24" s="30"/>
      <c r="L24" s="52"/>
      <c r="M24" s="193" t="s">
        <v>91</v>
      </c>
      <c r="N24" s="194"/>
      <c r="O24" s="195"/>
      <c r="P24" s="65"/>
      <c r="Q24" s="65"/>
      <c r="R24" s="65"/>
      <c r="S24" s="54"/>
      <c r="V24" s="54"/>
      <c r="W24" s="54"/>
      <c r="X24" s="54"/>
      <c r="Y24" s="54"/>
      <c r="Z24" s="54"/>
      <c r="AA24" s="54"/>
      <c r="AB24" s="54"/>
      <c r="AC24" s="64"/>
      <c r="AD24" s="17" t="b">
        <v>0</v>
      </c>
    </row>
    <row r="25" spans="1:30" ht="15">
      <c r="A25" s="23"/>
      <c r="B25" s="47"/>
      <c r="C25" s="48"/>
      <c r="D25" s="46"/>
      <c r="E25" s="49"/>
      <c r="F25" s="24"/>
      <c r="G25" s="24"/>
      <c r="H25" s="29"/>
      <c r="I25" s="24"/>
      <c r="J25" s="24"/>
      <c r="K25" s="37"/>
      <c r="L25" s="52"/>
      <c r="M25" s="191" t="s">
        <v>84</v>
      </c>
      <c r="N25" s="62">
        <f>D27</f>
        <v>120</v>
      </c>
      <c r="O25" s="66" t="s">
        <v>13</v>
      </c>
      <c r="P25" s="65"/>
      <c r="Q25" s="65"/>
      <c r="R25" s="65"/>
      <c r="S25" s="54"/>
      <c r="W25" s="54"/>
      <c r="X25" s="54"/>
      <c r="Y25" s="54"/>
      <c r="Z25" s="54"/>
      <c r="AA25" s="54"/>
      <c r="AB25" s="54"/>
      <c r="AC25" s="64"/>
      <c r="AD25" s="17" t="b">
        <v>0</v>
      </c>
    </row>
    <row r="26" spans="1:28" ht="15">
      <c r="A26" s="23"/>
      <c r="B26" s="161" t="s">
        <v>83</v>
      </c>
      <c r="C26" s="162"/>
      <c r="D26" s="46" t="str">
        <f>IF(AD22=TRUE,"Pequeño",IF(AD23=TRUE,"Mediano",IF(AD24=TRUE,"Grande",IF(AD25=TRUE,"Muy Grande",))))</f>
        <v>Mediano</v>
      </c>
      <c r="E26" s="42"/>
      <c r="F26" s="24"/>
      <c r="G26" s="24"/>
      <c r="H26" s="29"/>
      <c r="I26" s="186" t="s">
        <v>21</v>
      </c>
      <c r="J26" s="187"/>
      <c r="K26" s="37"/>
      <c r="L26" s="52"/>
      <c r="M26" s="192"/>
      <c r="N26" s="67">
        <f>N25/1.36</f>
        <v>88.23529411764706</v>
      </c>
      <c r="O26" s="66" t="s">
        <v>42</v>
      </c>
      <c r="P26" s="68"/>
      <c r="Q26" s="198" t="s">
        <v>92</v>
      </c>
      <c r="R26" s="199"/>
      <c r="W26" s="54"/>
      <c r="X26" s="54"/>
      <c r="Y26" s="54"/>
      <c r="Z26" s="54"/>
      <c r="AA26" s="54"/>
      <c r="AB26" s="54"/>
    </row>
    <row r="27" spans="1:28" ht="15">
      <c r="A27" s="23"/>
      <c r="B27" s="184" t="s">
        <v>84</v>
      </c>
      <c r="C27" s="185"/>
      <c r="D27" s="69">
        <f>IF(AD22=TRUE,J21,IF(AD23=TRUE,J22,IF(AD24=TRUE,J23,IF(AD25=TRUE,J24,""))))</f>
        <v>120</v>
      </c>
      <c r="E27" s="70" t="s">
        <v>13</v>
      </c>
      <c r="F27" s="24"/>
      <c r="G27" s="24"/>
      <c r="H27" s="29"/>
      <c r="I27" s="44" t="s">
        <v>23</v>
      </c>
      <c r="J27" s="62" t="s">
        <v>78</v>
      </c>
      <c r="K27" s="37"/>
      <c r="M27" s="202" t="s">
        <v>93</v>
      </c>
      <c r="N27" s="71">
        <f>+I54</f>
        <v>560</v>
      </c>
      <c r="O27" s="44" t="s">
        <v>45</v>
      </c>
      <c r="P27" s="65"/>
      <c r="Q27" s="200"/>
      <c r="R27" s="201"/>
      <c r="W27" s="54"/>
      <c r="X27" s="54"/>
      <c r="Y27" s="54"/>
      <c r="Z27" s="54"/>
      <c r="AA27" s="54"/>
      <c r="AB27" s="54"/>
    </row>
    <row r="28" spans="1:18" ht="14.25">
      <c r="A28" s="23"/>
      <c r="B28" s="24"/>
      <c r="C28" s="24"/>
      <c r="D28" s="72"/>
      <c r="E28" s="27"/>
      <c r="F28" s="24"/>
      <c r="G28" s="24"/>
      <c r="H28" s="24"/>
      <c r="I28" s="44" t="s">
        <v>2</v>
      </c>
      <c r="J28" s="73">
        <v>0.1</v>
      </c>
      <c r="K28" s="37"/>
      <c r="L28" s="52"/>
      <c r="M28" s="203"/>
      <c r="N28" s="74">
        <f>N26*N27</f>
        <v>49411.76470588235</v>
      </c>
      <c r="O28" s="44" t="s">
        <v>27</v>
      </c>
      <c r="P28" s="65"/>
      <c r="Q28" s="67" t="s">
        <v>25</v>
      </c>
      <c r="R28" s="75" t="s">
        <v>94</v>
      </c>
    </row>
    <row r="29" spans="1:18" ht="12.75" customHeight="1">
      <c r="A29" s="23"/>
      <c r="B29" s="174" t="s">
        <v>71</v>
      </c>
      <c r="C29" s="175"/>
      <c r="D29" s="76"/>
      <c r="E29" s="77"/>
      <c r="F29" s="24"/>
      <c r="G29" s="24"/>
      <c r="H29" s="24"/>
      <c r="I29" s="44" t="s">
        <v>3</v>
      </c>
      <c r="J29" s="73">
        <v>0.15</v>
      </c>
      <c r="K29" s="30"/>
      <c r="L29" s="52"/>
      <c r="M29" s="202" t="s">
        <v>95</v>
      </c>
      <c r="N29" s="78">
        <v>12000</v>
      </c>
      <c r="O29" s="44" t="s">
        <v>43</v>
      </c>
      <c r="P29" s="65"/>
      <c r="Q29" s="74">
        <v>500</v>
      </c>
      <c r="R29" s="67">
        <f>$N$28/$N$29+$N$28/($N$30*Q29)+($N$28*$N$31*0.6)/(Q29*100)+($N$28*(($N$32+$N$33)/(Q29*100)))+$N$26*$N$35*$N$34</f>
        <v>14.967058823529412</v>
      </c>
    </row>
    <row r="30" spans="1:18" ht="15">
      <c r="A30" s="23"/>
      <c r="B30" s="163" t="s">
        <v>20</v>
      </c>
      <c r="C30" s="164"/>
      <c r="D30" s="79">
        <f>IF(D23=J16,J28*D27/1.36,IF(D23=J17,J29*D27/1.36,IF(D23=J18,J30*D27/1.36)))</f>
        <v>8.823529411764705</v>
      </c>
      <c r="E30" s="36" t="s">
        <v>49</v>
      </c>
      <c r="F30" s="24"/>
      <c r="G30" s="24"/>
      <c r="H30" s="24"/>
      <c r="I30" s="44" t="s">
        <v>5</v>
      </c>
      <c r="J30" s="73">
        <v>0.207</v>
      </c>
      <c r="K30" s="37"/>
      <c r="L30" s="52"/>
      <c r="M30" s="203"/>
      <c r="N30" s="80">
        <v>20</v>
      </c>
      <c r="O30" s="44" t="s">
        <v>32</v>
      </c>
      <c r="P30" s="65"/>
      <c r="Q30" s="74">
        <v>1000</v>
      </c>
      <c r="R30" s="67">
        <f>$N$28/$N$29+$N$28/($N$30*Q30)+($N$28*$N$31*0.6)/(Q30*100)+($N$28*(($N$32+$N$33)/(Q30*100)))+$N$26*$N$35*$N$34</f>
        <v>10.865882352941176</v>
      </c>
    </row>
    <row r="31" spans="1:18" ht="15">
      <c r="A31" s="23"/>
      <c r="B31" s="47"/>
      <c r="C31" s="48"/>
      <c r="D31" s="53">
        <f>D30*D20</f>
        <v>1.102941176470588</v>
      </c>
      <c r="E31" s="42" t="s">
        <v>74</v>
      </c>
      <c r="F31" s="24"/>
      <c r="G31" s="24"/>
      <c r="H31" s="24"/>
      <c r="I31" s="24"/>
      <c r="J31" s="81"/>
      <c r="K31" s="37"/>
      <c r="L31" s="52"/>
      <c r="M31" s="82" t="s">
        <v>96</v>
      </c>
      <c r="N31" s="83">
        <f>+D45</f>
        <v>5</v>
      </c>
      <c r="O31" s="44" t="s">
        <v>14</v>
      </c>
      <c r="P31" s="65"/>
      <c r="Q31" s="65"/>
      <c r="R31" s="65"/>
    </row>
    <row r="32" spans="1:18" ht="15">
      <c r="A32" s="23"/>
      <c r="B32" s="161" t="s">
        <v>22</v>
      </c>
      <c r="C32" s="162"/>
      <c r="D32" s="84">
        <f>D30*0.1/100</f>
        <v>0.008823529411764706</v>
      </c>
      <c r="E32" s="42" t="s">
        <v>49</v>
      </c>
      <c r="F32" s="24"/>
      <c r="G32" s="24"/>
      <c r="H32" s="29"/>
      <c r="I32" s="190" t="s">
        <v>107</v>
      </c>
      <c r="J32" s="190"/>
      <c r="K32" s="37"/>
      <c r="M32" s="82" t="s">
        <v>46</v>
      </c>
      <c r="N32" s="85">
        <v>0.2</v>
      </c>
      <c r="O32" s="44" t="s">
        <v>14</v>
      </c>
      <c r="P32" s="65"/>
      <c r="Q32" s="65"/>
      <c r="R32" s="65"/>
    </row>
    <row r="33" spans="1:18" ht="15">
      <c r="A33" s="23"/>
      <c r="B33" s="59"/>
      <c r="C33" s="63"/>
      <c r="D33" s="84">
        <f>D31*0.1/100</f>
        <v>0.0011029411764705882</v>
      </c>
      <c r="E33" s="42" t="s">
        <v>74</v>
      </c>
      <c r="F33" s="24"/>
      <c r="G33" s="24"/>
      <c r="H33" s="29"/>
      <c r="I33" s="44" t="s">
        <v>108</v>
      </c>
      <c r="J33" s="45">
        <v>4000</v>
      </c>
      <c r="K33" s="37"/>
      <c r="M33" s="82" t="s">
        <v>47</v>
      </c>
      <c r="N33" s="85">
        <v>0.1</v>
      </c>
      <c r="O33" s="44" t="s">
        <v>14</v>
      </c>
      <c r="P33" s="65"/>
      <c r="Q33" s="65"/>
      <c r="R33" s="65"/>
    </row>
    <row r="34" spans="1:18" ht="15.75" thickBot="1">
      <c r="A34" s="23"/>
      <c r="B34" s="172" t="s">
        <v>73</v>
      </c>
      <c r="C34" s="173"/>
      <c r="D34" s="86">
        <v>1</v>
      </c>
      <c r="E34" s="87" t="s">
        <v>44</v>
      </c>
      <c r="F34" s="24"/>
      <c r="G34" s="24"/>
      <c r="H34" s="29"/>
      <c r="I34" s="44" t="s">
        <v>18</v>
      </c>
      <c r="J34" s="45">
        <v>8000</v>
      </c>
      <c r="K34" s="37"/>
      <c r="L34" s="52"/>
      <c r="M34" s="88" t="s">
        <v>97</v>
      </c>
      <c r="N34" s="89">
        <v>0.2</v>
      </c>
      <c r="O34" s="90" t="s">
        <v>44</v>
      </c>
      <c r="P34" s="65"/>
      <c r="Q34" s="65"/>
      <c r="R34" s="65"/>
    </row>
    <row r="35" spans="1:18" ht="15.75" thickTop="1">
      <c r="A35" s="23"/>
      <c r="B35" s="55" t="s">
        <v>75</v>
      </c>
      <c r="C35" s="56"/>
      <c r="D35" s="91">
        <f>D34*D30</f>
        <v>8.823529411764705</v>
      </c>
      <c r="E35" s="58" t="s">
        <v>30</v>
      </c>
      <c r="F35" s="24"/>
      <c r="G35" s="24"/>
      <c r="H35" s="24"/>
      <c r="I35" s="24"/>
      <c r="J35" s="24"/>
      <c r="K35" s="30"/>
      <c r="L35" s="52"/>
      <c r="M35" s="88" t="s">
        <v>98</v>
      </c>
      <c r="N35" s="92">
        <v>0.15</v>
      </c>
      <c r="O35" s="93" t="s">
        <v>48</v>
      </c>
      <c r="P35" s="65"/>
      <c r="Q35" s="65"/>
      <c r="R35" s="65"/>
    </row>
    <row r="36" spans="1:12" ht="15">
      <c r="A36" s="23"/>
      <c r="B36" s="94"/>
      <c r="C36" s="95"/>
      <c r="D36" s="96">
        <f>D31*D34</f>
        <v>1.102941176470588</v>
      </c>
      <c r="E36" s="97" t="s">
        <v>38</v>
      </c>
      <c r="F36" s="24"/>
      <c r="G36" s="24"/>
      <c r="H36" s="24"/>
      <c r="I36" s="24"/>
      <c r="J36" s="24"/>
      <c r="K36" s="37"/>
      <c r="L36" s="52"/>
    </row>
    <row r="37" spans="1:12" ht="14.25">
      <c r="A37" s="23"/>
      <c r="B37" s="24"/>
      <c r="C37" s="24"/>
      <c r="D37" s="72"/>
      <c r="E37" s="27"/>
      <c r="F37" s="24"/>
      <c r="G37" s="24"/>
      <c r="H37" s="24"/>
      <c r="I37" s="24"/>
      <c r="J37" s="24"/>
      <c r="K37" s="37"/>
      <c r="L37" s="52"/>
    </row>
    <row r="38" spans="1:11" ht="15">
      <c r="A38" s="23"/>
      <c r="B38" s="174" t="s">
        <v>72</v>
      </c>
      <c r="C38" s="175"/>
      <c r="D38" s="76"/>
      <c r="E38" s="98"/>
      <c r="F38" s="99"/>
      <c r="G38" s="100"/>
      <c r="H38" s="24"/>
      <c r="I38" s="190" t="s">
        <v>89</v>
      </c>
      <c r="J38" s="190"/>
      <c r="K38" s="101"/>
    </row>
    <row r="39" spans="1:11" ht="15">
      <c r="A39" s="23"/>
      <c r="B39" s="163" t="s">
        <v>24</v>
      </c>
      <c r="C39" s="164"/>
      <c r="D39" s="102">
        <f>IF(AD41=TRUE,J39,J40)</f>
        <v>40</v>
      </c>
      <c r="E39" s="103" t="s">
        <v>25</v>
      </c>
      <c r="F39" s="104"/>
      <c r="G39" s="105"/>
      <c r="H39" s="106"/>
      <c r="I39" s="44" t="s">
        <v>2</v>
      </c>
      <c r="J39" s="45">
        <v>40</v>
      </c>
      <c r="K39" s="101"/>
    </row>
    <row r="40" spans="1:11" ht="14.25">
      <c r="A40" s="23"/>
      <c r="B40" s="47"/>
      <c r="C40" s="48"/>
      <c r="D40" s="46"/>
      <c r="E40" s="107"/>
      <c r="F40" s="63"/>
      <c r="G40" s="108"/>
      <c r="H40" s="106"/>
      <c r="I40" s="44" t="s">
        <v>5</v>
      </c>
      <c r="J40" s="109">
        <v>80</v>
      </c>
      <c r="K40" s="101"/>
    </row>
    <row r="41" spans="1:30" ht="15">
      <c r="A41" s="23"/>
      <c r="B41" s="161" t="s">
        <v>26</v>
      </c>
      <c r="C41" s="162"/>
      <c r="D41" s="41">
        <f>+F41*D7/1000</f>
        <v>4800</v>
      </c>
      <c r="E41" s="110" t="s">
        <v>27</v>
      </c>
      <c r="F41" s="111">
        <v>6000</v>
      </c>
      <c r="G41" s="108" t="s">
        <v>129</v>
      </c>
      <c r="H41" s="24"/>
      <c r="I41" s="24"/>
      <c r="J41" s="24"/>
      <c r="K41" s="30"/>
      <c r="AD41" s="17" t="b">
        <v>1</v>
      </c>
    </row>
    <row r="42" spans="1:30" ht="14.25">
      <c r="A42" s="23"/>
      <c r="B42" s="59"/>
      <c r="C42" s="63"/>
      <c r="D42" s="46"/>
      <c r="E42" s="107"/>
      <c r="F42" s="63"/>
      <c r="G42" s="108"/>
      <c r="H42" s="24"/>
      <c r="I42" s="24"/>
      <c r="J42" s="24"/>
      <c r="K42" s="37"/>
      <c r="AD42" s="17" t="b">
        <v>0</v>
      </c>
    </row>
    <row r="43" spans="1:11" ht="15">
      <c r="A43" s="23"/>
      <c r="B43" s="161" t="s">
        <v>28</v>
      </c>
      <c r="C43" s="162"/>
      <c r="D43" s="112">
        <v>800</v>
      </c>
      <c r="E43" s="110" t="s">
        <v>29</v>
      </c>
      <c r="F43" s="53">
        <f>+$D$41/$D43</f>
        <v>6</v>
      </c>
      <c r="G43" s="113" t="s">
        <v>30</v>
      </c>
      <c r="H43" s="24"/>
      <c r="I43" s="24"/>
      <c r="J43" s="24"/>
      <c r="K43" s="37"/>
    </row>
    <row r="44" spans="1:11" ht="15">
      <c r="A44" s="23"/>
      <c r="B44" s="161" t="s">
        <v>31</v>
      </c>
      <c r="C44" s="162"/>
      <c r="D44" s="112">
        <v>20</v>
      </c>
      <c r="E44" s="110" t="s">
        <v>32</v>
      </c>
      <c r="F44" s="53">
        <f>+$D$41/($D44*D39)</f>
        <v>6</v>
      </c>
      <c r="G44" s="113" t="s">
        <v>30</v>
      </c>
      <c r="H44" s="24"/>
      <c r="I44" s="24"/>
      <c r="J44" s="24"/>
      <c r="K44" s="114"/>
    </row>
    <row r="45" spans="1:11" ht="15">
      <c r="A45" s="23"/>
      <c r="B45" s="161" t="s">
        <v>33</v>
      </c>
      <c r="C45" s="162"/>
      <c r="D45" s="112">
        <v>5</v>
      </c>
      <c r="E45" s="110" t="s">
        <v>14</v>
      </c>
      <c r="F45" s="53">
        <f>+$D$41*0.006*$D45/D39</f>
        <v>3.6</v>
      </c>
      <c r="G45" s="113" t="s">
        <v>30</v>
      </c>
      <c r="H45" s="24"/>
      <c r="I45" s="188" t="str">
        <f>CONCATENATE("Vida útil para ",D39," h/año")</f>
        <v>Vida útil para 40 h/año</v>
      </c>
      <c r="J45" s="189"/>
      <c r="K45" s="30"/>
    </row>
    <row r="46" spans="1:11" ht="15">
      <c r="A46" s="23"/>
      <c r="B46" s="161" t="s">
        <v>34</v>
      </c>
      <c r="C46" s="162"/>
      <c r="D46" s="112">
        <v>0.2</v>
      </c>
      <c r="E46" s="110" t="s">
        <v>35</v>
      </c>
      <c r="F46" s="53">
        <f>+$D$41*$D46/(100*D39)</f>
        <v>0.24</v>
      </c>
      <c r="G46" s="113" t="s">
        <v>30</v>
      </c>
      <c r="H46" s="24"/>
      <c r="I46" s="115" t="s">
        <v>29</v>
      </c>
      <c r="J46" s="116">
        <f>+$D$41/($F$43+$F$44)</f>
        <v>400</v>
      </c>
      <c r="K46" s="30"/>
    </row>
    <row r="47" spans="1:11" ht="15">
      <c r="A47" s="23"/>
      <c r="B47" s="161" t="s">
        <v>36</v>
      </c>
      <c r="C47" s="162"/>
      <c r="D47" s="112">
        <v>0.1</v>
      </c>
      <c r="E47" s="110" t="s">
        <v>35</v>
      </c>
      <c r="F47" s="53">
        <f>+$D$41*$D47/(D39*100)</f>
        <v>0.12</v>
      </c>
      <c r="G47" s="113" t="s">
        <v>30</v>
      </c>
      <c r="H47" s="24"/>
      <c r="I47" s="115" t="s">
        <v>32</v>
      </c>
      <c r="J47" s="117">
        <f>+$D$41/($D$39*($F$43+$F$44))</f>
        <v>10</v>
      </c>
      <c r="K47" s="118"/>
    </row>
    <row r="48" spans="1:11" ht="15.75" thickBot="1">
      <c r="A48" s="23"/>
      <c r="B48" s="172" t="s">
        <v>37</v>
      </c>
      <c r="C48" s="173"/>
      <c r="D48" s="119">
        <v>0.3</v>
      </c>
      <c r="E48" s="120" t="s">
        <v>38</v>
      </c>
      <c r="F48" s="121">
        <f>+D48/D20</f>
        <v>2.4</v>
      </c>
      <c r="G48" s="122" t="s">
        <v>30</v>
      </c>
      <c r="H48" s="24"/>
      <c r="I48" s="24"/>
      <c r="J48" s="24"/>
      <c r="K48" s="123"/>
    </row>
    <row r="49" spans="1:11" ht="15.75" thickTop="1">
      <c r="A49" s="23"/>
      <c r="B49" s="55" t="s">
        <v>39</v>
      </c>
      <c r="C49" s="124"/>
      <c r="D49" s="107"/>
      <c r="E49" s="110"/>
      <c r="F49" s="53">
        <f>SUM(F43:F48)</f>
        <v>18.36</v>
      </c>
      <c r="G49" s="113" t="s">
        <v>30</v>
      </c>
      <c r="H49" s="24"/>
      <c r="I49" s="24"/>
      <c r="J49" s="24"/>
      <c r="K49" s="125"/>
    </row>
    <row r="50" spans="1:11" ht="15">
      <c r="A50" s="23"/>
      <c r="B50" s="126"/>
      <c r="C50" s="127"/>
      <c r="D50" s="128"/>
      <c r="E50" s="128"/>
      <c r="F50" s="129">
        <f>+F49*D20</f>
        <v>2.295</v>
      </c>
      <c r="G50" s="130" t="s">
        <v>38</v>
      </c>
      <c r="H50" s="24"/>
      <c r="I50" s="24"/>
      <c r="J50" s="24"/>
      <c r="K50" s="30"/>
    </row>
    <row r="51" spans="1:11" ht="15">
      <c r="A51" s="23"/>
      <c r="B51" s="24"/>
      <c r="C51" s="131"/>
      <c r="D51" s="27"/>
      <c r="E51" s="27"/>
      <c r="F51" s="24"/>
      <c r="G51" s="29"/>
      <c r="H51" s="24"/>
      <c r="I51" s="24"/>
      <c r="J51" s="132"/>
      <c r="K51" s="30"/>
    </row>
    <row r="52" spans="1:11" ht="23.25" customHeight="1">
      <c r="A52" s="23"/>
      <c r="B52" s="168" t="s">
        <v>41</v>
      </c>
      <c r="C52" s="178"/>
      <c r="D52" s="169"/>
      <c r="E52" s="179" t="s">
        <v>99</v>
      </c>
      <c r="F52" s="179"/>
      <c r="G52" s="133"/>
      <c r="H52" s="134"/>
      <c r="I52" s="134"/>
      <c r="J52" s="134"/>
      <c r="K52" s="30"/>
    </row>
    <row r="53" spans="1:11" ht="17.25" customHeight="1">
      <c r="A53" s="23"/>
      <c r="B53" s="168" t="s">
        <v>85</v>
      </c>
      <c r="C53" s="169"/>
      <c r="D53" s="135" t="s">
        <v>86</v>
      </c>
      <c r="E53" s="136" t="s">
        <v>30</v>
      </c>
      <c r="F53" s="136" t="s">
        <v>38</v>
      </c>
      <c r="G53" s="133"/>
      <c r="H53" s="134"/>
      <c r="I53" s="165" t="s">
        <v>110</v>
      </c>
      <c r="J53" s="165"/>
      <c r="K53" s="30"/>
    </row>
    <row r="54" spans="1:11" ht="17.25" customHeight="1">
      <c r="A54" s="23"/>
      <c r="B54" s="44"/>
      <c r="C54" s="44" t="s">
        <v>87</v>
      </c>
      <c r="D54" s="137">
        <f>R29</f>
        <v>14.967058823529412</v>
      </c>
      <c r="E54" s="117">
        <f>IF(AD62=TRUE,D54+D35,D54*0)</f>
        <v>23.790588235294116</v>
      </c>
      <c r="F54" s="138">
        <f>E54*$D$20</f>
        <v>2.9738235294117645</v>
      </c>
      <c r="G54" s="139">
        <f>IF(AD62=TRUE,F54,F54*0)</f>
        <v>2.9738235294117645</v>
      </c>
      <c r="H54" s="134"/>
      <c r="I54" s="140">
        <v>560</v>
      </c>
      <c r="J54" s="61" t="s">
        <v>109</v>
      </c>
      <c r="K54" s="30"/>
    </row>
    <row r="55" spans="1:11" ht="17.25" customHeight="1">
      <c r="A55" s="23"/>
      <c r="B55" s="44"/>
      <c r="C55" s="44" t="s">
        <v>88</v>
      </c>
      <c r="D55" s="137">
        <f>R30</f>
        <v>10.865882352941176</v>
      </c>
      <c r="E55" s="117">
        <f>IF(AD63=TRUE,D55+D35,D55*0)</f>
        <v>0</v>
      </c>
      <c r="F55" s="138">
        <f>E55*$D$20</f>
        <v>0</v>
      </c>
      <c r="G55" s="139">
        <f>IF(AD63=TRUE,F55,F55*0)</f>
        <v>0</v>
      </c>
      <c r="H55" s="134"/>
      <c r="I55" s="134"/>
      <c r="J55" s="134"/>
      <c r="K55" s="30"/>
    </row>
    <row r="56" spans="1:11" ht="15">
      <c r="A56" s="23"/>
      <c r="B56" s="24"/>
      <c r="C56" s="141"/>
      <c r="D56" s="27"/>
      <c r="E56" s="25"/>
      <c r="F56" s="142"/>
      <c r="G56" s="133"/>
      <c r="H56" s="134"/>
      <c r="I56" s="134"/>
      <c r="J56" s="134"/>
      <c r="K56" s="30"/>
    </row>
    <row r="57" spans="1:11" ht="21.75" customHeight="1">
      <c r="A57" s="23"/>
      <c r="B57" s="180" t="s">
        <v>100</v>
      </c>
      <c r="C57" s="181"/>
      <c r="D57" s="182"/>
      <c r="E57" s="183" t="s">
        <v>39</v>
      </c>
      <c r="F57" s="183"/>
      <c r="G57" s="133"/>
      <c r="H57" s="134"/>
      <c r="I57" s="134"/>
      <c r="J57" s="134"/>
      <c r="K57" s="30"/>
    </row>
    <row r="58" spans="1:11" ht="21.75" customHeight="1">
      <c r="A58" s="23"/>
      <c r="B58" s="168" t="s">
        <v>85</v>
      </c>
      <c r="C58" s="169"/>
      <c r="D58" s="143" t="s">
        <v>40</v>
      </c>
      <c r="E58" s="170" t="s">
        <v>38</v>
      </c>
      <c r="F58" s="171"/>
      <c r="G58" s="139"/>
      <c r="H58" s="134"/>
      <c r="I58" s="134"/>
      <c r="J58" s="134"/>
      <c r="K58" s="30"/>
    </row>
    <row r="59" spans="1:11" ht="24.75" customHeight="1">
      <c r="A59" s="23"/>
      <c r="B59" s="44"/>
      <c r="C59" s="144" t="str">
        <f>IF(D39=J39,"Baja","Alta")</f>
        <v>Baja</v>
      </c>
      <c r="D59" s="145">
        <f>D39*D21</f>
        <v>320</v>
      </c>
      <c r="E59" s="176">
        <f>+F50+$G$54+$G$55</f>
        <v>5.2688235294117645</v>
      </c>
      <c r="F59" s="177" t="e">
        <f>$D$18*($D$39/$D$41)+$D$39/($D$42*D59*$D$18)+(($D$39*0.006*$D$43)/(D59*$D$18))+$D$39*($D$44+$D$45)/(100*D59*$D$18)+($D$46/$D$18)+$D$66</f>
        <v>#DIV/0!</v>
      </c>
      <c r="G59" s="139"/>
      <c r="H59" s="134"/>
      <c r="I59" s="134"/>
      <c r="J59" s="134"/>
      <c r="K59" s="30"/>
    </row>
    <row r="60" spans="1:11" ht="15">
      <c r="A60" s="23"/>
      <c r="B60" s="24"/>
      <c r="C60" s="141"/>
      <c r="D60" s="27"/>
      <c r="E60" s="25"/>
      <c r="F60" s="146"/>
      <c r="G60" s="147"/>
      <c r="H60" s="24"/>
      <c r="I60" s="24"/>
      <c r="J60" s="24"/>
      <c r="K60" s="30"/>
    </row>
    <row r="61" spans="1:11" ht="14.25">
      <c r="A61" s="23"/>
      <c r="B61" s="24"/>
      <c r="C61" s="24"/>
      <c r="D61" s="27"/>
      <c r="E61" s="27"/>
      <c r="F61" s="24"/>
      <c r="G61" s="29"/>
      <c r="H61" s="24"/>
      <c r="I61" s="24"/>
      <c r="J61" s="24"/>
      <c r="K61" s="30"/>
    </row>
    <row r="62" spans="1:30" ht="15">
      <c r="A62" s="148"/>
      <c r="B62" s="149"/>
      <c r="C62" s="150"/>
      <c r="D62" s="151"/>
      <c r="E62" s="151"/>
      <c r="F62" s="152"/>
      <c r="G62" s="153"/>
      <c r="H62" s="149"/>
      <c r="I62" s="149"/>
      <c r="J62" s="149"/>
      <c r="K62" s="154"/>
      <c r="AD62" s="17" t="b">
        <v>1</v>
      </c>
    </row>
    <row r="63" spans="4:30" ht="15">
      <c r="D63" s="155"/>
      <c r="F63" s="156"/>
      <c r="G63" s="157"/>
      <c r="K63" s="158"/>
      <c r="AD63" s="17" t="b">
        <v>0</v>
      </c>
    </row>
    <row r="64" spans="4:11" ht="12.75" customHeight="1">
      <c r="D64" s="155"/>
      <c r="K64" s="158"/>
    </row>
    <row r="65" ht="14.25">
      <c r="D65" s="155"/>
    </row>
    <row r="66" spans="3:7" ht="15">
      <c r="C66" s="159"/>
      <c r="D66" s="155"/>
      <c r="E66" s="160"/>
      <c r="F66" s="156"/>
      <c r="G66" s="157"/>
    </row>
    <row r="67" spans="4:30" ht="15">
      <c r="D67" s="155"/>
      <c r="E67" s="160"/>
      <c r="F67" s="156"/>
      <c r="G67" s="157"/>
      <c r="AD67" s="17" t="b">
        <v>1</v>
      </c>
    </row>
    <row r="68" ht="14.25">
      <c r="AD68" s="17" t="b">
        <v>0</v>
      </c>
    </row>
  </sheetData>
  <sheetProtection/>
  <mergeCells count="54">
    <mergeCell ref="Q26:R27"/>
    <mergeCell ref="M27:M28"/>
    <mergeCell ref="M29:M30"/>
    <mergeCell ref="B6:C6"/>
    <mergeCell ref="B8:C8"/>
    <mergeCell ref="B10:C10"/>
    <mergeCell ref="B12:C12"/>
    <mergeCell ref="B11:C11"/>
    <mergeCell ref="B14:C14"/>
    <mergeCell ref="B7:C7"/>
    <mergeCell ref="B29:C29"/>
    <mergeCell ref="B13:C13"/>
    <mergeCell ref="B16:C16"/>
    <mergeCell ref="B18:C18"/>
    <mergeCell ref="B19:C19"/>
    <mergeCell ref="B23:C23"/>
    <mergeCell ref="I6:J6"/>
    <mergeCell ref="I10:J10"/>
    <mergeCell ref="I15:J15"/>
    <mergeCell ref="I20:J20"/>
    <mergeCell ref="M15:N15"/>
    <mergeCell ref="B20:C20"/>
    <mergeCell ref="M18:N18"/>
    <mergeCell ref="I38:J38"/>
    <mergeCell ref="M25:M26"/>
    <mergeCell ref="M24:O24"/>
    <mergeCell ref="I32:J32"/>
    <mergeCell ref="B45:C45"/>
    <mergeCell ref="B32:C32"/>
    <mergeCell ref="B30:C30"/>
    <mergeCell ref="B24:C24"/>
    <mergeCell ref="B26:C26"/>
    <mergeCell ref="E59:F59"/>
    <mergeCell ref="B52:D52"/>
    <mergeCell ref="E52:F52"/>
    <mergeCell ref="B53:C53"/>
    <mergeCell ref="B57:D57"/>
    <mergeCell ref="E57:F57"/>
    <mergeCell ref="I53:J53"/>
    <mergeCell ref="M3:N3"/>
    <mergeCell ref="B58:C58"/>
    <mergeCell ref="E58:F58"/>
    <mergeCell ref="B34:C34"/>
    <mergeCell ref="B38:C38"/>
    <mergeCell ref="B48:C48"/>
    <mergeCell ref="B27:C27"/>
    <mergeCell ref="I26:J26"/>
    <mergeCell ref="I45:J45"/>
    <mergeCell ref="B46:C46"/>
    <mergeCell ref="B43:C43"/>
    <mergeCell ref="B44:C44"/>
    <mergeCell ref="B47:C47"/>
    <mergeCell ref="B39:C39"/>
    <mergeCell ref="B41:C41"/>
  </mergeCells>
  <conditionalFormatting sqref="J21:J24">
    <cfRule type="cellIs" priority="1" dxfId="0" operator="equal" stopIfTrue="1">
      <formula>$D$27</formula>
    </cfRule>
  </conditionalFormatting>
  <conditionalFormatting sqref="J16:J18">
    <cfRule type="cellIs" priority="2" dxfId="0" operator="equal" stopIfTrue="1">
      <formula>$D$23</formula>
    </cfRule>
  </conditionalFormatting>
  <conditionalFormatting sqref="J11:J13">
    <cfRule type="cellIs" priority="3" dxfId="0" operator="equal" stopIfTrue="1">
      <formula>$D$19</formula>
    </cfRule>
  </conditionalFormatting>
  <conditionalFormatting sqref="J7:J8 J33:J34">
    <cfRule type="cellIs" priority="4" dxfId="0" operator="equal" stopIfTrue="1">
      <formula>$D$6</formula>
    </cfRule>
  </conditionalFormatting>
  <conditionalFormatting sqref="C55">
    <cfRule type="expression" priority="5" dxfId="0" stopIfTrue="1">
      <formula>$G$55&gt;0</formula>
    </cfRule>
  </conditionalFormatting>
  <conditionalFormatting sqref="C54">
    <cfRule type="expression" priority="6" dxfId="0" stopIfTrue="1">
      <formula>$G$54&gt;0</formula>
    </cfRule>
  </conditionalFormatting>
  <conditionalFormatting sqref="J28">
    <cfRule type="expression" priority="7" dxfId="0" stopIfTrue="1">
      <formula>$D$23=25</formula>
    </cfRule>
  </conditionalFormatting>
  <conditionalFormatting sqref="J29">
    <cfRule type="expression" priority="8" dxfId="0" stopIfTrue="1">
      <formula>$D$23=50</formula>
    </cfRule>
  </conditionalFormatting>
  <conditionalFormatting sqref="J30">
    <cfRule type="expression" priority="9" dxfId="0" stopIfTrue="1">
      <formula>$D$23=75</formula>
    </cfRule>
  </conditionalFormatting>
  <conditionalFormatting sqref="J39:J40">
    <cfRule type="cellIs" priority="10" dxfId="0" operator="equal" stopIfTrue="1">
      <formula>$D$39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3" r:id="rId5"/>
  <headerFooter alignWithMargins="0">
    <oddHeader>&amp;R&amp;F</oddHeader>
  </headerFooter>
  <drawing r:id="rId4"/>
  <legacyDrawing r:id="rId3"/>
  <oleObjects>
    <oleObject progId="Equation.3" shapeId="371784" r:id="rId1"/>
    <oleObject progId="Equation.3" shapeId="3717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2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95.421875" style="9" customWidth="1"/>
    <col min="2" max="53" width="11.421875" style="1" customWidth="1"/>
  </cols>
  <sheetData>
    <row r="1" ht="12.75">
      <c r="A1" s="10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>
      <c r="A6" s="10"/>
    </row>
    <row r="7" ht="12.75">
      <c r="A7" s="10"/>
    </row>
    <row r="8" ht="12.75">
      <c r="A8" s="10"/>
    </row>
    <row r="9" spans="1:53" s="3" customFormat="1" ht="12.75">
      <c r="A9" s="11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3" customFormat="1" ht="9.7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5" customFormat="1" ht="13.5" customHeight="1">
      <c r="A11" s="12" t="s">
        <v>102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5" customFormat="1" ht="33.75" customHeight="1">
      <c r="A12" s="12" t="s">
        <v>111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5" customFormat="1" ht="27.75" customHeight="1">
      <c r="A13" s="12" t="s">
        <v>112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5" customFormat="1" ht="16.5" customHeight="1">
      <c r="A14" s="12" t="s">
        <v>113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5" customFormat="1" ht="33.75" customHeight="1">
      <c r="A15" s="12" t="s">
        <v>114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5" customFormat="1" ht="33.75" customHeight="1">
      <c r="A16" s="12" t="s">
        <v>115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5" customFormat="1" ht="18" customHeight="1">
      <c r="A17" s="12" t="s">
        <v>116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5" customFormat="1" ht="21" customHeight="1">
      <c r="A18" s="12" t="s">
        <v>117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5" customFormat="1" ht="33.75" customHeight="1">
      <c r="A19" s="12" t="s">
        <v>118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5" customFormat="1" ht="33.75" customHeight="1">
      <c r="A20" s="12" t="s">
        <v>119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5" customFormat="1" ht="33.75" customHeight="1">
      <c r="A21" s="12" t="s">
        <v>120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s="5" customFormat="1" ht="6.75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s="5" customFormat="1" ht="17.25" customHeight="1">
      <c r="A23" s="12" t="s">
        <v>103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s="5" customFormat="1" ht="18.75" customHeight="1">
      <c r="A24" s="12" t="s">
        <v>128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s="5" customFormat="1" ht="33.75" customHeight="1">
      <c r="A25" s="12" t="s">
        <v>121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s="5" customFormat="1" ht="33.75" customHeight="1">
      <c r="A26" s="12" t="s">
        <v>130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s="5" customFormat="1" ht="22.5" customHeight="1">
      <c r="A27" s="12" t="s">
        <v>122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5" customFormat="1" ht="23.25" customHeight="1">
      <c r="A28" s="12" t="s">
        <v>123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5" customFormat="1" ht="20.25" customHeight="1">
      <c r="A29" s="13" t="s">
        <v>131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5" customFormat="1" ht="22.5" customHeight="1">
      <c r="A30" s="12" t="s">
        <v>124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5" customFormat="1" ht="21" customHeight="1">
      <c r="A31" s="12" t="s">
        <v>125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5" customFormat="1" ht="19.5" customHeight="1">
      <c r="A32" s="12" t="s">
        <v>126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s="5" customFormat="1" ht="33.75" customHeight="1">
      <c r="A33" s="12" t="s">
        <v>127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s="5" customFormat="1" ht="33.75" customHeight="1">
      <c r="A34" s="12" t="s">
        <v>104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="4" customFormat="1" ht="33.75" customHeight="1">
      <c r="A35" s="12"/>
    </row>
    <row r="36" s="4" customFormat="1" ht="33.75" customHeight="1">
      <c r="A36" s="6"/>
    </row>
    <row r="37" s="4" customFormat="1" ht="33.75" customHeight="1">
      <c r="A37" s="6"/>
    </row>
    <row r="38" s="4" customFormat="1" ht="33.75" customHeight="1">
      <c r="A38" s="6"/>
    </row>
    <row r="39" s="4" customFormat="1" ht="33.75" customHeight="1">
      <c r="A39" s="6"/>
    </row>
    <row r="40" s="2" customFormat="1" ht="12.75">
      <c r="A40" s="7"/>
    </row>
    <row r="41" s="2" customFormat="1" ht="12.75">
      <c r="A41" s="7"/>
    </row>
    <row r="42" s="2" customFormat="1" ht="12.75">
      <c r="A42" s="7"/>
    </row>
    <row r="43" s="2" customFormat="1" ht="12.75">
      <c r="A43" s="7"/>
    </row>
    <row r="44" s="2" customFormat="1" ht="12.75">
      <c r="A44" s="7"/>
    </row>
    <row r="45" s="2" customFormat="1" ht="12.75">
      <c r="A45" s="7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pcoello</cp:lastModifiedBy>
  <cp:lastPrinted>2008-08-19T11:52:30Z</cp:lastPrinted>
  <dcterms:created xsi:type="dcterms:W3CDTF">2006-04-10T08:55:06Z</dcterms:created>
  <dcterms:modified xsi:type="dcterms:W3CDTF">2014-07-04T06:48:21Z</dcterms:modified>
  <cp:category/>
  <cp:version/>
  <cp:contentType/>
  <cp:contentStatus/>
</cp:coreProperties>
</file>