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Semb.monograno" sheetId="1" r:id="rId1"/>
    <sheet name="Metodología" sheetId="2" r:id="rId2"/>
  </sheets>
  <definedNames>
    <definedName name="_xlnm.Print_Area" localSheetId="1">'Metodología'!$A$1:$A$36</definedName>
    <definedName name="_xlnm.Print_Area" localSheetId="0">'Semb.monograno'!$A$1:$K$66</definedName>
  </definedNames>
  <calcPr fullCalcOnLoad="1"/>
</workbook>
</file>

<file path=xl/sharedStrings.xml><?xml version="1.0" encoding="utf-8"?>
<sst xmlns="http://schemas.openxmlformats.org/spreadsheetml/2006/main" count="187" uniqueCount="146">
  <si>
    <t>OPERACIÓN:</t>
  </si>
  <si>
    <t>Anchura apero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</si>
  <si>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</si>
  <si>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</si>
  <si>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</si>
  <si>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</si>
  <si>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</si>
  <si>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</si>
  <si>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</si>
  <si>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</si>
  <si>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</si>
  <si>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</si>
  <si>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</si>
  <si>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</si>
  <si>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</si>
  <si>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</si>
  <si>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</si>
  <si>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</si>
  <si>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</si>
  <si>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</si>
  <si>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</si>
  <si>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</si>
  <si>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</si>
  <si>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</si>
  <si>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</si>
  <si>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</si>
  <si>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</si>
  <si>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</si>
  <si>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</si>
  <si>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</si>
  <si>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</si>
  <si>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</si>
  <si>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</si>
  <si>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</si>
  <si>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</si>
  <si>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</si>
  <si>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</si>
  <si>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</si>
  <si>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</si>
  <si>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</si>
  <si>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</si>
  <si>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</si>
  <si>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</si>
  <si>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</si>
  <si>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</si>
  <si>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</si>
  <si>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</si>
  <si>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</si>
  <si>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</si>
  <si>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</si>
  <si>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</si>
  <si>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</si>
  <si>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</si>
  <si>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Peso apero (vacío)</t>
  </si>
  <si>
    <t>consumos</t>
  </si>
  <si>
    <t>anchura alta</t>
  </si>
  <si>
    <t>anchura normal</t>
  </si>
  <si>
    <t>RESULTADOS MAPA</t>
  </si>
  <si>
    <t>Siembra</t>
  </si>
  <si>
    <t>Número de cuerpos</t>
  </si>
  <si>
    <t>Separación entre cuerpos</t>
  </si>
  <si>
    <t>ud</t>
  </si>
  <si>
    <t>Sembradora monograno</t>
  </si>
  <si>
    <t>Nivel de carga del tractor</t>
  </si>
  <si>
    <t>Potencia necesaria</t>
  </si>
  <si>
    <t>Pequeño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</si>
  <si>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</si>
  <si>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</si>
  <si>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</si>
  <si>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</si>
  <si>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</si>
  <si>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</si>
  <si>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</si>
  <si>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</si>
  <si>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</si>
  <si>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</si>
  <si>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ASAE row crop planter prepared seedbed</t>
  </si>
  <si>
    <t>Nº lineas</t>
  </si>
  <si>
    <t>P(kW)</t>
  </si>
  <si>
    <t>Factor (L/h-kW)</t>
  </si>
  <si>
    <t>F(daN)</t>
  </si>
  <si>
    <t>4,5 L/ha</t>
  </si>
  <si>
    <t>6,5 L/ha</t>
  </si>
  <si>
    <t>pot tractor CV</t>
  </si>
  <si>
    <t>nivel carga %</t>
  </si>
  <si>
    <t>pot utilizada</t>
  </si>
  <si>
    <t>v (km/h)</t>
  </si>
  <si>
    <t>Pot. (kW)</t>
  </si>
  <si>
    <t>Anchura (m)</t>
  </si>
  <si>
    <t>Incremento por peso máq.</t>
  </si>
  <si>
    <t>Pot neces (kW/m)</t>
  </si>
  <si>
    <t>Anchura máx</t>
  </si>
  <si>
    <t>Pot. (kW/m)</t>
  </si>
  <si>
    <t>Potencia tracción = Pot. demandada por cultivador de igual anchura a 15 cm de profundidad</t>
  </si>
  <si>
    <t>Pot a la barra i/rod+desliz</t>
  </si>
  <si>
    <t>P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</si>
  <si>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</si>
  <si>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</si>
  <si>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</si>
  <si>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</si>
  <si>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</si>
  <si>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</si>
  <si>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</si>
  <si>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</si>
  <si>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</si>
  <si>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</si>
  <si>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</si>
  <si>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</si>
  <si>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</si>
  <si>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</si>
  <si>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</si>
  <si>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</si>
  <si>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</si>
  <si>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</si>
  <si>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Siembra con sembradora monograno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</si>
  <si>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</si>
  <si>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</si>
  <si>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</si>
  <si>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</si>
  <si>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</si>
  <si>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>6</t>
  </si>
  <si>
    <t>€/cu.</t>
  </si>
  <si>
    <t>kg/cu.</t>
  </si>
  <si>
    <t>-          Número de cuerpos: a escoger entre 4, 6, 8 y 12</t>
  </si>
  <si>
    <t>-          Anchura de trabajo del apero: Se genera según los datos escogidos anteriormente.</t>
  </si>
  <si>
    <t>-          Eficiencia de la operación: Baja, media o alta (se recomienda escoger baja para esta operación puesto que es la situación más habitual)</t>
  </si>
  <si>
    <t>-          Nivel de carga del tractor: Bajo, medio o alto (se recomienda poner un nivel medio para esta operación)</t>
  </si>
  <si>
    <t>-          Velocidad de trabajo: Es un valor tomado de las velocidades recomendadas de trabajo.</t>
  </si>
  <si>
    <t>-          Potencia de tracción: Se considera equivalente a la de un cultivador de igual anchura trabajando 15 cm de profundidad.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</si>
  <si>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</si>
  <si>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</si>
  <si>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</si>
  <si>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1.200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</si>
  <si>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</si>
  <si>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</si>
  <si>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</si>
  <si>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0,75 €/ha</t>
  </si>
  <si>
    <t>-          Utilización anual tractor auxiliar: Se han estimado dos rangos diferentes de trabajo, 500 y 1.000 h/año.</t>
  </si>
  <si>
    <t>-          Peso del apero: Estimado en 160 kg/cuerpo</t>
  </si>
  <si>
    <t>-          Precio de adquisición: Estimado en 3.000 €/cuerpo</t>
  </si>
  <si>
    <t>-          Separación entre cuerpos: se puede elegir entre 0,45, 0,50, 0,60 y 0,75 m</t>
  </si>
  <si>
    <t>-          Incremento por peso de la máquina: Se considera que, debido al peso de la máquina y por la resistencia a la que se opone el suelo a las botas de siembra y surcadores, la potencia anterior se incrementa en un 10 %.</t>
  </si>
  <si>
    <t>-          Coste de combustible: 1,00 €/L</t>
  </si>
  <si>
    <t>-          Interés: 5 %</t>
  </si>
  <si>
    <t>cm</t>
  </si>
  <si>
    <t>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</si>
</sst>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sz val="11"/>
      <color indexed="22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4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0" xfId="0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hidden="1" locked="0"/>
    </xf>
    <xf numFmtId="0" fontId="8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11" fillId="0" borderId="0" xfId="0" applyFont="1" applyAlignment="1">
      <alignment/>
    </xf>
    <xf numFmtId="1" fontId="6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2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4" fillId="0" borderId="15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6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center"/>
      <protection hidden="1" locked="0"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164" fontId="7" fillId="33" borderId="16" xfId="0" applyNumberFormat="1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4" fillId="0" borderId="15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3" fontId="14" fillId="0" borderId="15" xfId="0" applyNumberFormat="1" applyFont="1" applyBorder="1" applyAlignment="1" applyProtection="1">
      <alignment horizontal="center"/>
      <protection locked="0"/>
    </xf>
    <xf numFmtId="3" fontId="14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3" fontId="14" fillId="33" borderId="0" xfId="0" applyNumberFormat="1" applyFont="1" applyFill="1" applyBorder="1" applyAlignment="1" applyProtection="1">
      <alignment horizontal="center"/>
      <protection hidden="1" locked="0"/>
    </xf>
    <xf numFmtId="2" fontId="6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 applyProtection="1">
      <alignment horizontal="center"/>
      <protection hidden="1" locked="0"/>
    </xf>
    <xf numFmtId="3" fontId="6" fillId="34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Border="1" applyAlignment="1" applyProtection="1">
      <alignment horizontal="center"/>
      <protection hidden="1"/>
    </xf>
    <xf numFmtId="164" fontId="8" fillId="0" borderId="15" xfId="0" applyNumberFormat="1" applyFont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2" fontId="14" fillId="33" borderId="21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3" fontId="8" fillId="34" borderId="14" xfId="0" applyNumberFormat="1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12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15" fillId="0" borderId="15" xfId="0" applyFont="1" applyBorder="1" applyAlignment="1">
      <alignment horizontal="right"/>
    </xf>
    <xf numFmtId="0" fontId="11" fillId="34" borderId="0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16" fillId="37" borderId="15" xfId="0" applyFont="1" applyFill="1" applyBorder="1" applyAlignment="1">
      <alignment horizontal="center"/>
    </xf>
    <xf numFmtId="2" fontId="16" fillId="37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33" borderId="24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Relationship Id="rId8" Type="http://schemas.openxmlformats.org/officeDocument/2006/relationships/image" Target="../media/image12.emf" /><Relationship Id="rId9" Type="http://schemas.openxmlformats.org/officeDocument/2006/relationships/image" Target="../media/image1.emf" /><Relationship Id="rId10" Type="http://schemas.openxmlformats.org/officeDocument/2006/relationships/image" Target="../media/image16.emf" /><Relationship Id="rId11" Type="http://schemas.openxmlformats.org/officeDocument/2006/relationships/image" Target="../media/image11.emf" /><Relationship Id="rId12" Type="http://schemas.openxmlformats.org/officeDocument/2006/relationships/image" Target="../media/image10.emf" /><Relationship Id="rId13" Type="http://schemas.openxmlformats.org/officeDocument/2006/relationships/image" Target="../media/image15.emf" /><Relationship Id="rId14" Type="http://schemas.openxmlformats.org/officeDocument/2006/relationships/image" Target="../media/image8.emf" /><Relationship Id="rId15" Type="http://schemas.openxmlformats.org/officeDocument/2006/relationships/image" Target="../media/image2.emf" /><Relationship Id="rId16" Type="http://schemas.openxmlformats.org/officeDocument/2006/relationships/image" Target="../media/image17.emf" /><Relationship Id="rId17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7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86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12</xdr:row>
      <xdr:rowOff>28575</xdr:rowOff>
    </xdr:from>
    <xdr:to>
      <xdr:col>7</xdr:col>
      <xdr:colOff>266700</xdr:colOff>
      <xdr:row>13</xdr:row>
      <xdr:rowOff>9525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23145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38100</xdr:rowOff>
    </xdr:from>
    <xdr:to>
      <xdr:col>7</xdr:col>
      <xdr:colOff>266700</xdr:colOff>
      <xdr:row>14</xdr:row>
      <xdr:rowOff>19050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25431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14</xdr:row>
      <xdr:rowOff>28575</xdr:rowOff>
    </xdr:from>
    <xdr:to>
      <xdr:col>7</xdr:col>
      <xdr:colOff>266700</xdr:colOff>
      <xdr:row>15</xdr:row>
      <xdr:rowOff>9525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27527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17</xdr:row>
      <xdr:rowOff>19050</xdr:rowOff>
    </xdr:from>
    <xdr:to>
      <xdr:col>7</xdr:col>
      <xdr:colOff>257175</xdr:colOff>
      <xdr:row>18</xdr:row>
      <xdr:rowOff>0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34004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18</xdr:row>
      <xdr:rowOff>0</xdr:rowOff>
    </xdr:from>
    <xdr:to>
      <xdr:col>7</xdr:col>
      <xdr:colOff>257175</xdr:colOff>
      <xdr:row>18</xdr:row>
      <xdr:rowOff>142875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3600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19</xdr:row>
      <xdr:rowOff>9525</xdr:rowOff>
    </xdr:from>
    <xdr:to>
      <xdr:col>7</xdr:col>
      <xdr:colOff>247650</xdr:colOff>
      <xdr:row>19</xdr:row>
      <xdr:rowOff>152400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382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11</xdr:row>
      <xdr:rowOff>38100</xdr:rowOff>
    </xdr:from>
    <xdr:to>
      <xdr:col>3</xdr:col>
      <xdr:colOff>638175</xdr:colOff>
      <xdr:row>12</xdr:row>
      <xdr:rowOff>28575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20764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22</xdr:row>
      <xdr:rowOff>28575</xdr:rowOff>
    </xdr:from>
    <xdr:to>
      <xdr:col>7</xdr:col>
      <xdr:colOff>247650</xdr:colOff>
      <xdr:row>23</xdr:row>
      <xdr:rowOff>9525</xdr:rowOff>
    </xdr:to>
    <xdr:pic>
      <xdr:nvPicPr>
        <xdr:cNvPr id="9" name="Optio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00575" y="45053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23</xdr:row>
      <xdr:rowOff>28575</xdr:rowOff>
    </xdr:from>
    <xdr:to>
      <xdr:col>7</xdr:col>
      <xdr:colOff>247650</xdr:colOff>
      <xdr:row>24</xdr:row>
      <xdr:rowOff>9525</xdr:rowOff>
    </xdr:to>
    <xdr:pic>
      <xdr:nvPicPr>
        <xdr:cNvPr id="10" name="Option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472440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28575</xdr:rowOff>
    </xdr:from>
    <xdr:to>
      <xdr:col>7</xdr:col>
      <xdr:colOff>247650</xdr:colOff>
      <xdr:row>25</xdr:row>
      <xdr:rowOff>9525</xdr:rowOff>
    </xdr:to>
    <xdr:pic>
      <xdr:nvPicPr>
        <xdr:cNvPr id="11" name="Option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00575" y="49434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25</xdr:row>
      <xdr:rowOff>28575</xdr:rowOff>
    </xdr:from>
    <xdr:to>
      <xdr:col>7</xdr:col>
      <xdr:colOff>247650</xdr:colOff>
      <xdr:row>26</xdr:row>
      <xdr:rowOff>9525</xdr:rowOff>
    </xdr:to>
    <xdr:pic>
      <xdr:nvPicPr>
        <xdr:cNvPr id="12" name="OptionButton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00575" y="51625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59</xdr:row>
      <xdr:rowOff>28575</xdr:rowOff>
    </xdr:from>
    <xdr:to>
      <xdr:col>1</xdr:col>
      <xdr:colOff>257175</xdr:colOff>
      <xdr:row>60</xdr:row>
      <xdr:rowOff>0</xdr:rowOff>
    </xdr:to>
    <xdr:pic>
      <xdr:nvPicPr>
        <xdr:cNvPr id="13" name="Option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26111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28575</xdr:rowOff>
    </xdr:from>
    <xdr:to>
      <xdr:col>1</xdr:col>
      <xdr:colOff>257175</xdr:colOff>
      <xdr:row>61</xdr:row>
      <xdr:rowOff>9525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28301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44</xdr:row>
      <xdr:rowOff>19050</xdr:rowOff>
    </xdr:from>
    <xdr:to>
      <xdr:col>7</xdr:col>
      <xdr:colOff>238125</xdr:colOff>
      <xdr:row>45</xdr:row>
      <xdr:rowOff>9525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91050" y="9315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38100</xdr:rowOff>
    </xdr:from>
    <xdr:to>
      <xdr:col>7</xdr:col>
      <xdr:colOff>238125</xdr:colOff>
      <xdr:row>46</xdr:row>
      <xdr:rowOff>9525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91050" y="9553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12</xdr:row>
      <xdr:rowOff>9525</xdr:rowOff>
    </xdr:from>
    <xdr:to>
      <xdr:col>3</xdr:col>
      <xdr:colOff>638175</xdr:colOff>
      <xdr:row>13</xdr:row>
      <xdr:rowOff>28575</xdr:rowOff>
    </xdr:to>
    <xdr:pic>
      <xdr:nvPicPr>
        <xdr:cNvPr id="17" name="ComboBox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57450" y="229552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6</xdr:row>
      <xdr:rowOff>133350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AL98"/>
  <sheetViews>
    <sheetView showZeros="0" tabSelected="1" zoomScalePageLayoutView="0" workbookViewId="0" topLeftCell="A1">
      <selection activeCell="D17" sqref="D17"/>
    </sheetView>
  </sheetViews>
  <sheetFormatPr defaultColWidth="11.421875" defaultRowHeight="12.75"/>
  <cols>
    <col min="1" max="1" width="2.8515625" style="9" customWidth="1"/>
    <col min="2" max="2" width="5.421875" style="9" customWidth="1"/>
    <col min="3" max="3" width="25.8515625" style="9" customWidth="1"/>
    <col min="4" max="4" width="13.140625" style="10" customWidth="1"/>
    <col min="5" max="5" width="6.57421875" style="10" customWidth="1"/>
    <col min="6" max="6" width="7.00390625" style="9" customWidth="1"/>
    <col min="7" max="7" width="6.57421875" style="11" customWidth="1"/>
    <col min="8" max="8" width="4.140625" style="9" customWidth="1"/>
    <col min="9" max="9" width="13.00390625" style="9" customWidth="1"/>
    <col min="10" max="10" width="19.28125" style="9" customWidth="1"/>
    <col min="11" max="12" width="5.7109375" style="9" customWidth="1"/>
    <col min="13" max="13" width="15.7109375" style="12" hidden="1" customWidth="1"/>
    <col min="14" max="14" width="10.28125" style="12" hidden="1" customWidth="1"/>
    <col min="15" max="15" width="8.140625" style="12" hidden="1" customWidth="1"/>
    <col min="16" max="16" width="10.421875" style="12" hidden="1" customWidth="1"/>
    <col min="17" max="17" width="7.140625" style="12" hidden="1" customWidth="1"/>
    <col min="18" max="18" width="10.421875" style="12" hidden="1" customWidth="1"/>
    <col min="19" max="19" width="9.57421875" style="12" hidden="1" customWidth="1"/>
    <col min="20" max="20" width="7.140625" style="12" hidden="1" customWidth="1"/>
    <col min="21" max="25" width="6.57421875" style="12" hidden="1" customWidth="1"/>
    <col min="26" max="29" width="6.57421875" style="13" hidden="1" customWidth="1"/>
    <col min="30" max="30" width="0" style="14" hidden="1" customWidth="1"/>
    <col min="31" max="33" width="11.57421875" style="13" hidden="1" customWidth="1"/>
    <col min="34" max="16384" width="11.57421875" style="9" customWidth="1"/>
  </cols>
  <sheetData>
    <row r="1" ht="14.25"/>
    <row r="2" ht="12" customHeight="1"/>
    <row r="3" ht="13.5" customHeight="1"/>
    <row r="4" ht="12" customHeight="1"/>
    <row r="5" ht="10.5" customHeight="1"/>
    <row r="6" ht="13.5" customHeight="1"/>
    <row r="7" ht="15.75" customHeight="1"/>
    <row r="8" spans="1:12" ht="17.25" customHeight="1">
      <c r="A8" s="15"/>
      <c r="B8" s="16"/>
      <c r="C8" s="16"/>
      <c r="D8" s="17"/>
      <c r="E8" s="17"/>
      <c r="F8" s="16"/>
      <c r="G8" s="16"/>
      <c r="H8" s="18"/>
      <c r="I8" s="16"/>
      <c r="J8" s="16"/>
      <c r="K8" s="19"/>
      <c r="L8" s="20"/>
    </row>
    <row r="9" spans="1:32" ht="17.25" customHeight="1">
      <c r="A9" s="21"/>
      <c r="B9" s="22"/>
      <c r="C9" s="23" t="s">
        <v>0</v>
      </c>
      <c r="D9" s="24" t="s">
        <v>58</v>
      </c>
      <c r="E9" s="25"/>
      <c r="F9" s="26"/>
      <c r="G9" s="26"/>
      <c r="H9" s="27"/>
      <c r="I9" s="22"/>
      <c r="J9" s="22"/>
      <c r="K9" s="28"/>
      <c r="L9" s="20"/>
      <c r="M9" s="169" t="s">
        <v>103</v>
      </c>
      <c r="N9" s="17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2"/>
      <c r="AE9" s="31"/>
      <c r="AF9" s="31"/>
    </row>
    <row r="10" spans="1:32" ht="17.25" customHeight="1">
      <c r="A10" s="21"/>
      <c r="B10" s="22"/>
      <c r="C10" s="23" t="s">
        <v>2</v>
      </c>
      <c r="D10" s="33" t="s">
        <v>62</v>
      </c>
      <c r="E10" s="34"/>
      <c r="F10" s="34"/>
      <c r="G10" s="35"/>
      <c r="H10" s="22"/>
      <c r="I10" s="22"/>
      <c r="J10" s="22"/>
      <c r="K10" s="36"/>
      <c r="L10" s="2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2"/>
      <c r="AE10" s="31"/>
      <c r="AF10" s="31"/>
    </row>
    <row r="11" spans="1:38" ht="17.25" customHeight="1">
      <c r="A11" s="21"/>
      <c r="B11" s="22"/>
      <c r="C11" s="22"/>
      <c r="D11" s="34"/>
      <c r="E11" s="34"/>
      <c r="F11" s="34"/>
      <c r="G11" s="35"/>
      <c r="H11" s="22"/>
      <c r="I11" s="22"/>
      <c r="J11" s="22"/>
      <c r="K11" s="36"/>
      <c r="L11" s="2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2"/>
      <c r="AE11" s="31"/>
      <c r="AF11" s="31"/>
      <c r="AH11" s="37"/>
      <c r="AI11" s="37"/>
      <c r="AJ11" s="37"/>
      <c r="AK11" s="37"/>
      <c r="AL11" s="37"/>
    </row>
    <row r="12" spans="1:38" ht="19.5" customHeight="1">
      <c r="A12" s="21"/>
      <c r="B12" s="167" t="s">
        <v>59</v>
      </c>
      <c r="C12" s="168"/>
      <c r="D12" s="38"/>
      <c r="E12" s="39" t="s">
        <v>61</v>
      </c>
      <c r="F12" s="22"/>
      <c r="G12" s="22"/>
      <c r="H12" s="27"/>
      <c r="I12" s="172" t="s">
        <v>9</v>
      </c>
      <c r="J12" s="172"/>
      <c r="K12" s="41"/>
      <c r="L12" s="20"/>
      <c r="M12" s="171" t="s">
        <v>93</v>
      </c>
      <c r="N12" s="171"/>
      <c r="O12" s="171"/>
      <c r="P12" s="42"/>
      <c r="Q12" s="42"/>
      <c r="R12" s="30"/>
      <c r="S12" s="30"/>
      <c r="T12" s="30"/>
      <c r="U12" s="30"/>
      <c r="V12" s="30"/>
      <c r="W12" s="30"/>
      <c r="X12" s="30"/>
      <c r="Y12" s="30"/>
      <c r="Z12" s="31"/>
      <c r="AA12" s="31"/>
      <c r="AB12" s="31"/>
      <c r="AC12" s="31"/>
      <c r="AD12" s="32"/>
      <c r="AE12" s="31"/>
      <c r="AF12" s="31"/>
      <c r="AH12" s="37"/>
      <c r="AI12" s="37"/>
      <c r="AJ12" s="37"/>
      <c r="AK12" s="37"/>
      <c r="AL12" s="37"/>
    </row>
    <row r="13" spans="1:38" ht="17.25" customHeight="1">
      <c r="A13" s="21"/>
      <c r="B13" s="163" t="s">
        <v>60</v>
      </c>
      <c r="C13" s="164"/>
      <c r="D13" s="43" t="str">
        <f>+AG22</f>
        <v>75</v>
      </c>
      <c r="E13" s="44" t="s">
        <v>144</v>
      </c>
      <c r="F13" s="45"/>
      <c r="G13" s="45"/>
      <c r="H13" s="46"/>
      <c r="I13" s="47" t="s">
        <v>3</v>
      </c>
      <c r="J13" s="40">
        <v>0.55</v>
      </c>
      <c r="K13" s="41"/>
      <c r="L13" s="20"/>
      <c r="M13" s="171"/>
      <c r="N13" s="171"/>
      <c r="O13" s="171"/>
      <c r="P13" s="42"/>
      <c r="Q13" s="42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2"/>
      <c r="AE13" s="31"/>
      <c r="AF13" s="31"/>
      <c r="AH13" s="37"/>
      <c r="AI13" s="37"/>
      <c r="AJ13" s="37"/>
      <c r="AK13" s="37"/>
      <c r="AL13" s="37"/>
    </row>
    <row r="14" spans="1:38" ht="17.25" customHeight="1">
      <c r="A14" s="21"/>
      <c r="B14" s="163" t="s">
        <v>1</v>
      </c>
      <c r="C14" s="164"/>
      <c r="D14" s="48">
        <f>(AG16)*D13/100</f>
        <v>4.5</v>
      </c>
      <c r="E14" s="44" t="s">
        <v>5</v>
      </c>
      <c r="F14" s="45"/>
      <c r="G14" s="45"/>
      <c r="H14" s="46"/>
      <c r="I14" s="47" t="s">
        <v>4</v>
      </c>
      <c r="J14" s="40">
        <v>0.65</v>
      </c>
      <c r="K14" s="41"/>
      <c r="L14" s="20"/>
      <c r="M14" s="171"/>
      <c r="N14" s="171"/>
      <c r="O14" s="171"/>
      <c r="P14" s="42"/>
      <c r="Q14" s="42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2" t="b">
        <v>1</v>
      </c>
      <c r="AE14" s="31"/>
      <c r="AF14" s="31"/>
      <c r="AH14" s="37"/>
      <c r="AI14" s="37"/>
      <c r="AJ14" s="37"/>
      <c r="AK14" s="37"/>
      <c r="AL14" s="37"/>
    </row>
    <row r="15" spans="1:38" ht="17.25" customHeight="1">
      <c r="A15" s="21"/>
      <c r="B15" s="163" t="s">
        <v>53</v>
      </c>
      <c r="C15" s="164"/>
      <c r="D15" s="49">
        <f>+D16*AG16</f>
        <v>960</v>
      </c>
      <c r="E15" s="44" t="s">
        <v>8</v>
      </c>
      <c r="F15" s="50"/>
      <c r="G15" s="51"/>
      <c r="H15" s="46"/>
      <c r="I15" s="47" t="s">
        <v>6</v>
      </c>
      <c r="J15" s="40">
        <v>0.75</v>
      </c>
      <c r="K15" s="41"/>
      <c r="L15" s="20"/>
      <c r="M15" s="52" t="s">
        <v>92</v>
      </c>
      <c r="N15" s="30" t="s">
        <v>88</v>
      </c>
      <c r="O15" s="52" t="s">
        <v>87</v>
      </c>
      <c r="P15" s="42"/>
      <c r="Q15" s="42"/>
      <c r="R15" s="42"/>
      <c r="S15" s="30"/>
      <c r="T15" s="30"/>
      <c r="U15" s="30"/>
      <c r="V15" s="30"/>
      <c r="W15" s="30"/>
      <c r="X15" s="30"/>
      <c r="Y15" s="30"/>
      <c r="Z15" s="31"/>
      <c r="AA15" s="31"/>
      <c r="AB15" s="31"/>
      <c r="AC15" s="31"/>
      <c r="AD15" s="32" t="b">
        <v>0</v>
      </c>
      <c r="AE15" s="31"/>
      <c r="AF15" s="31"/>
      <c r="AG15" s="53"/>
      <c r="AH15" s="37"/>
      <c r="AI15" s="37"/>
      <c r="AJ15" s="37"/>
      <c r="AK15" s="37"/>
      <c r="AL15" s="37"/>
    </row>
    <row r="16" spans="1:38" ht="17.25" customHeight="1">
      <c r="A16" s="21"/>
      <c r="B16" s="54"/>
      <c r="C16" s="55"/>
      <c r="D16" s="56">
        <v>160</v>
      </c>
      <c r="E16" s="57" t="s">
        <v>122</v>
      </c>
      <c r="F16" s="45"/>
      <c r="G16" s="45"/>
      <c r="H16" s="35"/>
      <c r="I16" s="35"/>
      <c r="J16" s="35"/>
      <c r="K16" s="28"/>
      <c r="L16" s="20"/>
      <c r="M16" s="52">
        <v>4.665</v>
      </c>
      <c r="N16" s="58">
        <v>2</v>
      </c>
      <c r="O16" s="59">
        <f>14/3*N16</f>
        <v>9.333333333333334</v>
      </c>
      <c r="P16" s="42"/>
      <c r="Q16" s="42"/>
      <c r="R16" s="42"/>
      <c r="S16" s="30"/>
      <c r="T16" s="30"/>
      <c r="U16" s="30"/>
      <c r="V16" s="30"/>
      <c r="W16" s="30"/>
      <c r="X16" s="30"/>
      <c r="Y16" s="30"/>
      <c r="Z16" s="31"/>
      <c r="AA16" s="31"/>
      <c r="AB16" s="31"/>
      <c r="AC16" s="31"/>
      <c r="AD16" s="32" t="b">
        <v>0</v>
      </c>
      <c r="AE16" s="31"/>
      <c r="AF16" s="60">
        <v>4</v>
      </c>
      <c r="AG16" s="61" t="s">
        <v>120</v>
      </c>
      <c r="AH16" s="37"/>
      <c r="AI16" s="37"/>
      <c r="AJ16" s="37"/>
      <c r="AK16" s="37"/>
      <c r="AL16" s="37"/>
    </row>
    <row r="17" spans="1:38" ht="17.25" customHeight="1">
      <c r="A17" s="21"/>
      <c r="B17" s="163" t="s">
        <v>51</v>
      </c>
      <c r="C17" s="164"/>
      <c r="D17" s="62">
        <v>6</v>
      </c>
      <c r="E17" s="44" t="s">
        <v>7</v>
      </c>
      <c r="F17" s="22"/>
      <c r="G17" s="22"/>
      <c r="H17" s="27"/>
      <c r="I17" s="172" t="s">
        <v>13</v>
      </c>
      <c r="J17" s="172"/>
      <c r="K17" s="41"/>
      <c r="L17" s="20"/>
      <c r="M17" s="52">
        <v>4.665</v>
      </c>
      <c r="N17" s="58">
        <v>3</v>
      </c>
      <c r="O17" s="63">
        <f>14/3*N17</f>
        <v>14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1"/>
      <c r="AB17" s="31"/>
      <c r="AC17" s="31"/>
      <c r="AD17" s="32"/>
      <c r="AE17" s="31"/>
      <c r="AF17" s="60">
        <v>6</v>
      </c>
      <c r="AG17" s="61"/>
      <c r="AH17" s="37"/>
      <c r="AI17" s="37"/>
      <c r="AJ17" s="37"/>
      <c r="AK17" s="37"/>
      <c r="AL17" s="37"/>
    </row>
    <row r="18" spans="1:38" ht="17.25" customHeight="1">
      <c r="A18" s="21"/>
      <c r="B18" s="163" t="s">
        <v>52</v>
      </c>
      <c r="C18" s="164"/>
      <c r="D18" s="43">
        <f>IF(D$14=2,O16,IF(D$14=3,O17,IF(D$14=5,O18,O19)))</f>
        <v>28</v>
      </c>
      <c r="E18" s="44" t="s">
        <v>43</v>
      </c>
      <c r="F18" s="22"/>
      <c r="G18" s="22"/>
      <c r="H18" s="46"/>
      <c r="I18" s="47" t="s">
        <v>66</v>
      </c>
      <c r="J18" s="40">
        <v>25</v>
      </c>
      <c r="K18" s="41"/>
      <c r="L18" s="20"/>
      <c r="M18" s="52">
        <v>4.665</v>
      </c>
      <c r="N18" s="63">
        <v>5</v>
      </c>
      <c r="O18" s="59">
        <f>14/3*N18</f>
        <v>23.333333333333336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31"/>
      <c r="AB18" s="31"/>
      <c r="AC18" s="31"/>
      <c r="AD18" s="32" t="b">
        <v>0</v>
      </c>
      <c r="AE18" s="31"/>
      <c r="AF18" s="60">
        <v>8</v>
      </c>
      <c r="AG18" s="61"/>
      <c r="AH18" s="37"/>
      <c r="AI18" s="37"/>
      <c r="AJ18" s="37"/>
      <c r="AK18" s="37"/>
      <c r="AL18" s="37"/>
    </row>
    <row r="19" spans="1:38" ht="17.25" customHeight="1">
      <c r="A19" s="21"/>
      <c r="B19" s="163" t="s">
        <v>89</v>
      </c>
      <c r="C19" s="164"/>
      <c r="D19" s="43">
        <v>20</v>
      </c>
      <c r="E19" s="44" t="s">
        <v>15</v>
      </c>
      <c r="F19" s="22"/>
      <c r="G19" s="22"/>
      <c r="H19" s="46"/>
      <c r="I19" s="47" t="s">
        <v>67</v>
      </c>
      <c r="J19" s="40">
        <v>50</v>
      </c>
      <c r="K19" s="41"/>
      <c r="L19" s="20"/>
      <c r="M19" s="52">
        <v>4.665</v>
      </c>
      <c r="N19" s="63">
        <v>6</v>
      </c>
      <c r="O19" s="63">
        <f>14/3*N19</f>
        <v>28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2" t="b">
        <v>1</v>
      </c>
      <c r="AE19" s="31"/>
      <c r="AF19" s="60">
        <v>12</v>
      </c>
      <c r="AG19" s="61"/>
      <c r="AH19" s="37"/>
      <c r="AI19" s="37"/>
      <c r="AJ19" s="37"/>
      <c r="AK19" s="37"/>
      <c r="AL19" s="37"/>
    </row>
    <row r="20" spans="1:38" ht="17.25" customHeight="1">
      <c r="A20" s="21"/>
      <c r="B20" s="163" t="s">
        <v>64</v>
      </c>
      <c r="C20" s="164"/>
      <c r="D20" s="43">
        <f>D18+D19/100*D18</f>
        <v>33.6</v>
      </c>
      <c r="E20" s="44" t="s">
        <v>43</v>
      </c>
      <c r="F20" s="22"/>
      <c r="G20" s="22"/>
      <c r="H20" s="46"/>
      <c r="I20" s="47" t="s">
        <v>68</v>
      </c>
      <c r="J20" s="40">
        <v>75</v>
      </c>
      <c r="K20" s="41"/>
      <c r="L20" s="64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2" t="b">
        <v>0</v>
      </c>
      <c r="AE20" s="31"/>
      <c r="AF20" s="31"/>
      <c r="AH20" s="37"/>
      <c r="AI20" s="37"/>
      <c r="AJ20" s="37"/>
      <c r="AK20" s="37"/>
      <c r="AL20" s="37"/>
    </row>
    <row r="21" spans="1:38" ht="17.25" customHeight="1">
      <c r="A21" s="21"/>
      <c r="B21" s="54"/>
      <c r="C21" s="55"/>
      <c r="D21" s="43">
        <f>D20*1.36</f>
        <v>45.696000000000005</v>
      </c>
      <c r="E21" s="44" t="s">
        <v>14</v>
      </c>
      <c r="F21" s="22"/>
      <c r="G21" s="22"/>
      <c r="H21" s="22"/>
      <c r="I21" s="22"/>
      <c r="J21" s="22"/>
      <c r="K21" s="41"/>
      <c r="L21" s="6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31"/>
      <c r="AB21" s="31"/>
      <c r="AC21" s="31"/>
      <c r="AD21" s="32"/>
      <c r="AE21" s="31"/>
      <c r="AF21" s="31"/>
      <c r="AH21" s="37"/>
      <c r="AI21" s="37"/>
      <c r="AJ21" s="37"/>
      <c r="AK21" s="37"/>
      <c r="AL21" s="37"/>
    </row>
    <row r="22" spans="1:38" ht="17.25" customHeight="1">
      <c r="A22" s="21"/>
      <c r="B22" s="163" t="s">
        <v>94</v>
      </c>
      <c r="C22" s="164"/>
      <c r="D22" s="43">
        <f>D21/0.75</f>
        <v>60.928000000000004</v>
      </c>
      <c r="E22" s="44" t="s">
        <v>14</v>
      </c>
      <c r="F22" s="22"/>
      <c r="G22" s="22"/>
      <c r="H22" s="27"/>
      <c r="I22" s="172" t="s">
        <v>17</v>
      </c>
      <c r="J22" s="172"/>
      <c r="K22" s="41"/>
      <c r="L22" s="6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31"/>
      <c r="AB22" s="31"/>
      <c r="AC22" s="31"/>
      <c r="AD22" s="32"/>
      <c r="AE22" s="31"/>
      <c r="AF22" s="65">
        <v>45</v>
      </c>
      <c r="AG22" s="66" t="s">
        <v>145</v>
      </c>
      <c r="AH22" s="37"/>
      <c r="AI22" s="37"/>
      <c r="AJ22" s="37"/>
      <c r="AK22" s="37"/>
      <c r="AL22" s="37"/>
    </row>
    <row r="23" spans="1:38" ht="17.25" customHeight="1">
      <c r="A23" s="21"/>
      <c r="B23" s="54"/>
      <c r="C23" s="55"/>
      <c r="D23" s="43"/>
      <c r="E23" s="44"/>
      <c r="F23" s="22"/>
      <c r="G23" s="22"/>
      <c r="H23" s="46"/>
      <c r="I23" s="67" t="s">
        <v>65</v>
      </c>
      <c r="J23" s="68">
        <v>90</v>
      </c>
      <c r="K23" s="41"/>
      <c r="L23" s="6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1"/>
      <c r="AB23" s="31"/>
      <c r="AC23" s="31"/>
      <c r="AD23" s="32" t="b">
        <v>0</v>
      </c>
      <c r="AE23" s="31"/>
      <c r="AF23" s="65">
        <v>50</v>
      </c>
      <c r="AH23" s="37"/>
      <c r="AI23" s="37"/>
      <c r="AJ23" s="37"/>
      <c r="AK23" s="37"/>
      <c r="AL23" s="37"/>
    </row>
    <row r="24" spans="1:38" ht="17.25" customHeight="1">
      <c r="A24" s="21"/>
      <c r="B24" s="163" t="s">
        <v>74</v>
      </c>
      <c r="C24" s="164"/>
      <c r="D24" s="69">
        <f>10/(D17*D14)</f>
        <v>0.37037037037037035</v>
      </c>
      <c r="E24" s="44" t="s">
        <v>10</v>
      </c>
      <c r="F24" s="22"/>
      <c r="G24" s="22"/>
      <c r="H24" s="46"/>
      <c r="I24" s="47" t="s">
        <v>18</v>
      </c>
      <c r="J24" s="40">
        <v>120</v>
      </c>
      <c r="K24" s="41"/>
      <c r="L24" s="2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1"/>
      <c r="AB24" s="31"/>
      <c r="AC24" s="31"/>
      <c r="AD24" s="32" t="b">
        <v>1</v>
      </c>
      <c r="AE24" s="31"/>
      <c r="AF24" s="65">
        <v>60</v>
      </c>
      <c r="AH24" s="37"/>
      <c r="AI24" s="37"/>
      <c r="AJ24" s="37"/>
      <c r="AK24" s="37"/>
      <c r="AL24" s="37"/>
    </row>
    <row r="25" spans="1:38" ht="17.25" customHeight="1">
      <c r="A25" s="21"/>
      <c r="B25" s="163" t="s">
        <v>11</v>
      </c>
      <c r="C25" s="164"/>
      <c r="D25" s="62">
        <f>IF(AD14=TRUE,J13,IF(AD15=TRUE,J14,IF(AD16=TRUE,J15)))</f>
        <v>0.55</v>
      </c>
      <c r="E25" s="70"/>
      <c r="F25" s="22"/>
      <c r="G25" s="22"/>
      <c r="H25" s="46"/>
      <c r="I25" s="47" t="s">
        <v>19</v>
      </c>
      <c r="J25" s="40">
        <v>150</v>
      </c>
      <c r="K25" s="28"/>
      <c r="L25" s="64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31"/>
      <c r="AB25" s="31"/>
      <c r="AC25" s="31"/>
      <c r="AD25" s="32" t="b">
        <v>0</v>
      </c>
      <c r="AE25" s="31"/>
      <c r="AF25" s="65">
        <v>75</v>
      </c>
      <c r="AH25" s="37"/>
      <c r="AI25" s="37"/>
      <c r="AJ25" s="37"/>
      <c r="AK25" s="37"/>
      <c r="AL25" s="37"/>
    </row>
    <row r="26" spans="1:38" ht="17.25" customHeight="1">
      <c r="A26" s="21"/>
      <c r="B26" s="165" t="s">
        <v>75</v>
      </c>
      <c r="C26" s="166"/>
      <c r="D26" s="73">
        <f>D24/D25</f>
        <v>0.6734006734006733</v>
      </c>
      <c r="E26" s="74" t="s">
        <v>10</v>
      </c>
      <c r="F26" s="22"/>
      <c r="G26" s="22"/>
      <c r="H26" s="46"/>
      <c r="I26" s="47" t="s">
        <v>20</v>
      </c>
      <c r="J26" s="40">
        <v>180</v>
      </c>
      <c r="K26" s="41"/>
      <c r="L26" s="64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2" t="b">
        <v>0</v>
      </c>
      <c r="AE26" s="31"/>
      <c r="AF26" s="31"/>
      <c r="AH26" s="37"/>
      <c r="AI26" s="37"/>
      <c r="AJ26" s="37"/>
      <c r="AK26" s="37"/>
      <c r="AL26" s="37"/>
    </row>
    <row r="27" spans="1:38" ht="17.25" customHeight="1">
      <c r="A27" s="21"/>
      <c r="B27" s="75"/>
      <c r="C27" s="76"/>
      <c r="D27" s="73">
        <f>1/D26</f>
        <v>1.485</v>
      </c>
      <c r="E27" s="74" t="s">
        <v>12</v>
      </c>
      <c r="F27" s="22"/>
      <c r="G27" s="22"/>
      <c r="H27" s="22"/>
      <c r="I27" s="22"/>
      <c r="J27" s="22"/>
      <c r="K27" s="41"/>
      <c r="L27" s="64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2"/>
      <c r="AE27" s="31"/>
      <c r="AF27" s="31"/>
      <c r="AH27" s="37"/>
      <c r="AI27" s="37"/>
      <c r="AJ27" s="37"/>
      <c r="AK27" s="37"/>
      <c r="AL27" s="37"/>
    </row>
    <row r="28" spans="1:38" ht="17.25" customHeight="1">
      <c r="A28" s="21"/>
      <c r="B28" s="75"/>
      <c r="C28" s="77"/>
      <c r="D28" s="62"/>
      <c r="E28" s="70"/>
      <c r="F28" s="22"/>
      <c r="G28" s="22"/>
      <c r="H28" s="22"/>
      <c r="I28" s="172" t="s">
        <v>22</v>
      </c>
      <c r="J28" s="172"/>
      <c r="K28" s="41"/>
      <c r="L28" s="64"/>
      <c r="M28" s="173" t="s">
        <v>76</v>
      </c>
      <c r="N28" s="173"/>
      <c r="O28" s="52" t="s">
        <v>77</v>
      </c>
      <c r="P28" s="52" t="s">
        <v>80</v>
      </c>
      <c r="Q28" s="52" t="s">
        <v>86</v>
      </c>
      <c r="R28" s="52" t="s">
        <v>78</v>
      </c>
      <c r="S28" s="30"/>
      <c r="T28" s="30"/>
      <c r="U28" s="30"/>
      <c r="V28" s="42"/>
      <c r="W28" s="42"/>
      <c r="X28" s="42"/>
      <c r="Y28" s="42"/>
      <c r="Z28" s="42"/>
      <c r="AA28" s="42"/>
      <c r="AB28" s="42"/>
      <c r="AC28" s="42"/>
      <c r="AD28" s="32"/>
      <c r="AE28" s="31"/>
      <c r="AF28" s="31"/>
      <c r="AH28" s="37"/>
      <c r="AI28" s="37"/>
      <c r="AJ28" s="37"/>
      <c r="AK28" s="37"/>
      <c r="AL28" s="37"/>
    </row>
    <row r="29" spans="1:38" ht="17.25" customHeight="1">
      <c r="A29" s="21"/>
      <c r="B29" s="163" t="s">
        <v>63</v>
      </c>
      <c r="C29" s="164"/>
      <c r="D29" s="62">
        <f>IF(AD18=TRUE,J18,IF(AD19=TRUE,J19,IF(AD20=TRUE,J20)))</f>
        <v>50</v>
      </c>
      <c r="E29" s="44" t="s">
        <v>15</v>
      </c>
      <c r="F29" s="22"/>
      <c r="G29" s="22"/>
      <c r="H29" s="22"/>
      <c r="I29" s="47" t="s">
        <v>24</v>
      </c>
      <c r="J29" s="68" t="s">
        <v>79</v>
      </c>
      <c r="K29" s="41"/>
      <c r="L29" s="64"/>
      <c r="M29" s="173"/>
      <c r="N29" s="173"/>
      <c r="O29" s="52" t="str">
        <f>AG16</f>
        <v>6</v>
      </c>
      <c r="P29" s="58">
        <f>O29*900/10</f>
        <v>540</v>
      </c>
      <c r="Q29" s="58">
        <f>D$17</f>
        <v>6</v>
      </c>
      <c r="R29" s="58">
        <f>P29*$D$17*10/3600</f>
        <v>9</v>
      </c>
      <c r="S29" s="30"/>
      <c r="T29" s="30"/>
      <c r="U29" s="30"/>
      <c r="V29" s="42"/>
      <c r="W29" s="42"/>
      <c r="X29" s="42"/>
      <c r="Y29" s="42"/>
      <c r="Z29" s="42"/>
      <c r="AA29" s="42"/>
      <c r="AB29" s="42"/>
      <c r="AC29" s="42"/>
      <c r="AD29" s="32"/>
      <c r="AE29" s="31"/>
      <c r="AF29" s="31"/>
      <c r="AH29" s="37"/>
      <c r="AI29" s="37"/>
      <c r="AJ29" s="37"/>
      <c r="AK29" s="37"/>
      <c r="AL29" s="37"/>
    </row>
    <row r="30" spans="1:38" ht="17.25" customHeight="1">
      <c r="A30" s="21"/>
      <c r="B30" s="163" t="s">
        <v>16</v>
      </c>
      <c r="C30" s="164"/>
      <c r="D30" s="43">
        <f>D22*100/D29</f>
        <v>121.85600000000001</v>
      </c>
      <c r="E30" s="44" t="s">
        <v>14</v>
      </c>
      <c r="F30" s="22"/>
      <c r="G30" s="22"/>
      <c r="H30" s="22"/>
      <c r="I30" s="47" t="s">
        <v>3</v>
      </c>
      <c r="J30" s="78">
        <v>0.1</v>
      </c>
      <c r="K30" s="28"/>
      <c r="L30" s="64"/>
      <c r="M30" s="79"/>
      <c r="N30" s="80"/>
      <c r="O30" s="52"/>
      <c r="P30" s="52"/>
      <c r="Q30" s="30"/>
      <c r="R30" s="30"/>
      <c r="S30" s="30"/>
      <c r="T30" s="30"/>
      <c r="U30" s="30"/>
      <c r="V30" s="42"/>
      <c r="W30" s="42"/>
      <c r="X30" s="42"/>
      <c r="Y30" s="42"/>
      <c r="Z30" s="42"/>
      <c r="AA30" s="42"/>
      <c r="AB30" s="42"/>
      <c r="AC30" s="42"/>
      <c r="AD30" s="32"/>
      <c r="AE30" s="31"/>
      <c r="AF30" s="31"/>
      <c r="AH30" s="37"/>
      <c r="AI30" s="37"/>
      <c r="AJ30" s="37"/>
      <c r="AK30" s="37"/>
      <c r="AL30" s="37"/>
    </row>
    <row r="31" spans="1:38" ht="17.25" customHeight="1">
      <c r="A31" s="21"/>
      <c r="B31" s="54"/>
      <c r="C31" s="55"/>
      <c r="D31" s="62"/>
      <c r="E31" s="70"/>
      <c r="F31" s="22"/>
      <c r="G31" s="22"/>
      <c r="H31" s="22"/>
      <c r="I31" s="47" t="s">
        <v>4</v>
      </c>
      <c r="J31" s="78">
        <v>0.15</v>
      </c>
      <c r="K31" s="41"/>
      <c r="L31" s="64"/>
      <c r="M31" s="30"/>
      <c r="N31" s="52"/>
      <c r="O31" s="30"/>
      <c r="P31" s="30"/>
      <c r="Q31" s="30"/>
      <c r="R31" s="30"/>
      <c r="S31" s="30"/>
      <c r="T31" s="30"/>
      <c r="U31" s="30"/>
      <c r="V31" s="42"/>
      <c r="W31" s="42"/>
      <c r="X31" s="42"/>
      <c r="Y31" s="42"/>
      <c r="Z31" s="42"/>
      <c r="AA31" s="42"/>
      <c r="AB31" s="42"/>
      <c r="AC31" s="42"/>
      <c r="AD31" s="32"/>
      <c r="AE31" s="31"/>
      <c r="AF31" s="31"/>
      <c r="AH31" s="37"/>
      <c r="AI31" s="37"/>
      <c r="AJ31" s="37"/>
      <c r="AK31" s="37"/>
      <c r="AL31" s="37"/>
    </row>
    <row r="32" spans="1:38" ht="17.25" customHeight="1">
      <c r="A32" s="21"/>
      <c r="B32" s="163" t="s">
        <v>96</v>
      </c>
      <c r="C32" s="164"/>
      <c r="D32" s="62" t="str">
        <f>IF(AD23=TRUE,"Pequeño",IF(AD24=TRUE,"Mediano",IF(AD25=TRUE,"Grande",IF(AD26=TRUE,"Muy Grande",))))</f>
        <v>Mediano</v>
      </c>
      <c r="E32" s="44"/>
      <c r="F32" s="22"/>
      <c r="G32" s="22"/>
      <c r="H32" s="22"/>
      <c r="I32" s="47" t="s">
        <v>6</v>
      </c>
      <c r="J32" s="78">
        <v>0.207</v>
      </c>
      <c r="K32" s="41"/>
      <c r="L32" s="64"/>
      <c r="M32" s="181" t="s">
        <v>57</v>
      </c>
      <c r="N32" s="181"/>
      <c r="O32" s="52"/>
      <c r="P32" s="52"/>
      <c r="Q32" s="42"/>
      <c r="R32" s="42"/>
      <c r="S32" s="42"/>
      <c r="T32" s="30"/>
      <c r="U32" s="30"/>
      <c r="V32" s="42"/>
      <c r="W32" s="42"/>
      <c r="X32" s="30"/>
      <c r="Y32" s="30"/>
      <c r="Z32" s="31"/>
      <c r="AA32" s="31"/>
      <c r="AB32" s="31"/>
      <c r="AC32" s="31"/>
      <c r="AD32" s="32"/>
      <c r="AE32" s="31"/>
      <c r="AF32" s="31"/>
      <c r="AH32" s="37"/>
      <c r="AI32" s="37"/>
      <c r="AJ32" s="37"/>
      <c r="AK32" s="37"/>
      <c r="AL32" s="37"/>
    </row>
    <row r="33" spans="1:38" ht="17.25" customHeight="1">
      <c r="A33" s="21"/>
      <c r="B33" s="182" t="s">
        <v>97</v>
      </c>
      <c r="C33" s="183"/>
      <c r="D33" s="81">
        <f>IF(AD23=TRUE,J23,IF(AD24=TRUE,J24,IF(AD25=TRUE,J25,IF(AD26=TRUE,J26,""))))</f>
        <v>120</v>
      </c>
      <c r="E33" s="82" t="s">
        <v>14</v>
      </c>
      <c r="F33" s="22"/>
      <c r="G33" s="22"/>
      <c r="H33" s="22"/>
      <c r="I33" s="22"/>
      <c r="J33" s="22"/>
      <c r="K33" s="41"/>
      <c r="L33" s="20"/>
      <c r="M33" s="30"/>
      <c r="N33" s="30" t="s">
        <v>54</v>
      </c>
      <c r="O33" s="52"/>
      <c r="P33" s="52"/>
      <c r="Q33" s="42"/>
      <c r="R33" s="42"/>
      <c r="S33" s="42"/>
      <c r="T33" s="30"/>
      <c r="U33" s="30"/>
      <c r="V33" s="30"/>
      <c r="W33" s="30"/>
      <c r="X33" s="30"/>
      <c r="Y33" s="30"/>
      <c r="Z33" s="31"/>
      <c r="AA33" s="31"/>
      <c r="AB33" s="31"/>
      <c r="AC33" s="31"/>
      <c r="AD33" s="32"/>
      <c r="AE33" s="31"/>
      <c r="AF33" s="31"/>
      <c r="AH33" s="37"/>
      <c r="AI33" s="37"/>
      <c r="AJ33" s="37"/>
      <c r="AK33" s="37"/>
      <c r="AL33" s="37"/>
    </row>
    <row r="34" spans="1:38" ht="17.25" customHeight="1">
      <c r="A34" s="21"/>
      <c r="B34" s="22"/>
      <c r="C34" s="22"/>
      <c r="D34" s="83"/>
      <c r="E34" s="25"/>
      <c r="F34" s="22"/>
      <c r="G34" s="22"/>
      <c r="H34" s="22"/>
      <c r="I34" s="22"/>
      <c r="J34" s="22"/>
      <c r="K34" s="41"/>
      <c r="L34" s="64"/>
      <c r="M34" s="30" t="s">
        <v>55</v>
      </c>
      <c r="N34" s="52" t="s">
        <v>81</v>
      </c>
      <c r="O34" s="52"/>
      <c r="P34" s="30"/>
      <c r="Q34" s="42"/>
      <c r="R34" s="42"/>
      <c r="S34" s="42"/>
      <c r="T34" s="30"/>
      <c r="U34" s="30"/>
      <c r="V34" s="30"/>
      <c r="W34" s="30"/>
      <c r="X34" s="30"/>
      <c r="Y34" s="30"/>
      <c r="Z34" s="31"/>
      <c r="AA34" s="31"/>
      <c r="AB34" s="31"/>
      <c r="AC34" s="31"/>
      <c r="AD34" s="32"/>
      <c r="AE34" s="31"/>
      <c r="AF34" s="31"/>
      <c r="AH34" s="37"/>
      <c r="AI34" s="37"/>
      <c r="AJ34" s="37"/>
      <c r="AK34" s="37"/>
      <c r="AL34" s="37"/>
    </row>
    <row r="35" spans="1:38" ht="17.25" customHeight="1">
      <c r="A35" s="21"/>
      <c r="B35" s="176" t="s">
        <v>69</v>
      </c>
      <c r="C35" s="177"/>
      <c r="D35" s="84"/>
      <c r="E35" s="85"/>
      <c r="F35" s="22"/>
      <c r="G35" s="22"/>
      <c r="H35" s="22"/>
      <c r="I35" s="22"/>
      <c r="J35" s="22"/>
      <c r="K35" s="28"/>
      <c r="L35" s="64"/>
      <c r="M35" s="30" t="s">
        <v>56</v>
      </c>
      <c r="N35" s="52" t="s">
        <v>82</v>
      </c>
      <c r="O35" s="52"/>
      <c r="P35" s="52"/>
      <c r="Q35" s="42"/>
      <c r="R35" s="42"/>
      <c r="S35" s="42"/>
      <c r="T35" s="30"/>
      <c r="U35" s="30"/>
      <c r="V35" s="30"/>
      <c r="W35" s="30"/>
      <c r="X35" s="30"/>
      <c r="Y35" s="30"/>
      <c r="Z35" s="31"/>
      <c r="AA35" s="31"/>
      <c r="AB35" s="31"/>
      <c r="AC35" s="31"/>
      <c r="AD35" s="32"/>
      <c r="AE35" s="31"/>
      <c r="AF35" s="31"/>
      <c r="AH35" s="37"/>
      <c r="AI35" s="37"/>
      <c r="AJ35" s="37"/>
      <c r="AK35" s="37"/>
      <c r="AL35" s="37"/>
    </row>
    <row r="36" spans="1:38" ht="17.25" customHeight="1">
      <c r="A36" s="21"/>
      <c r="B36" s="163" t="s">
        <v>21</v>
      </c>
      <c r="C36" s="164"/>
      <c r="D36" s="69">
        <f>IF(D29=J18,J30*D33/1.36,IF(D29=J19,J31*D33/1.36,IF(D29=J20,J32*D33/1.36)))</f>
        <v>13.235294117647058</v>
      </c>
      <c r="E36" s="44" t="s">
        <v>50</v>
      </c>
      <c r="F36" s="22"/>
      <c r="G36" s="22"/>
      <c r="H36" s="22"/>
      <c r="I36" s="22"/>
      <c r="J36" s="22"/>
      <c r="K36" s="41"/>
      <c r="L36" s="64"/>
      <c r="M36" s="86"/>
      <c r="N36" s="30"/>
      <c r="O36" s="30"/>
      <c r="P36" s="30"/>
      <c r="Q36" s="87"/>
      <c r="R36" s="87"/>
      <c r="S36" s="87"/>
      <c r="T36" s="30"/>
      <c r="U36" s="30"/>
      <c r="V36" s="30"/>
      <c r="W36" s="30"/>
      <c r="X36" s="87"/>
      <c r="Y36" s="87"/>
      <c r="Z36" s="87"/>
      <c r="AA36" s="87"/>
      <c r="AB36" s="87"/>
      <c r="AC36" s="87"/>
      <c r="AD36" s="32"/>
      <c r="AE36" s="31"/>
      <c r="AF36" s="31"/>
      <c r="AH36" s="37"/>
      <c r="AI36" s="37"/>
      <c r="AJ36" s="37"/>
      <c r="AK36" s="37"/>
      <c r="AL36" s="37"/>
    </row>
    <row r="37" spans="1:38" ht="17.25" customHeight="1">
      <c r="A37" s="21"/>
      <c r="B37" s="54"/>
      <c r="C37" s="55"/>
      <c r="D37" s="69">
        <f>D36*D26</f>
        <v>8.912655971479499</v>
      </c>
      <c r="E37" s="44" t="s">
        <v>72</v>
      </c>
      <c r="F37" s="22"/>
      <c r="G37" s="22"/>
      <c r="H37" s="22"/>
      <c r="I37" s="22"/>
      <c r="J37" s="22"/>
      <c r="K37" s="41"/>
      <c r="L37" s="64"/>
      <c r="M37" s="178" t="s">
        <v>104</v>
      </c>
      <c r="N37" s="178"/>
      <c r="O37" s="178"/>
      <c r="P37" s="30"/>
      <c r="Q37" s="30"/>
      <c r="R37" s="30"/>
      <c r="S37" s="42"/>
      <c r="T37" s="30"/>
      <c r="U37" s="30"/>
      <c r="V37" s="87"/>
      <c r="W37" s="87"/>
      <c r="X37" s="88"/>
      <c r="Y37" s="88"/>
      <c r="Z37" s="88"/>
      <c r="AA37" s="88"/>
      <c r="AB37" s="88"/>
      <c r="AC37" s="88"/>
      <c r="AD37" s="32"/>
      <c r="AE37" s="31"/>
      <c r="AF37" s="31"/>
      <c r="AH37" s="37"/>
      <c r="AI37" s="37"/>
      <c r="AJ37" s="37"/>
      <c r="AK37" s="37"/>
      <c r="AL37" s="37"/>
    </row>
    <row r="38" spans="1:38" ht="17.25" customHeight="1">
      <c r="A38" s="21"/>
      <c r="B38" s="163" t="s">
        <v>23</v>
      </c>
      <c r="C38" s="164"/>
      <c r="D38" s="89">
        <f>D36*0.1/100</f>
        <v>0.013235294117647059</v>
      </c>
      <c r="E38" s="44" t="s">
        <v>50</v>
      </c>
      <c r="F38" s="22"/>
      <c r="G38" s="22"/>
      <c r="H38" s="22"/>
      <c r="I38" s="22"/>
      <c r="J38" s="22"/>
      <c r="K38" s="41"/>
      <c r="L38" s="20"/>
      <c r="M38" s="179" t="s">
        <v>97</v>
      </c>
      <c r="N38" s="52">
        <f>D33</f>
        <v>120</v>
      </c>
      <c r="O38" s="30" t="s">
        <v>14</v>
      </c>
      <c r="P38" s="30"/>
      <c r="Q38" s="30"/>
      <c r="R38" s="30"/>
      <c r="S38" s="42"/>
      <c r="T38" s="30"/>
      <c r="U38" s="42"/>
      <c r="V38" s="88"/>
      <c r="W38" s="88"/>
      <c r="X38" s="90"/>
      <c r="Y38" s="90"/>
      <c r="Z38" s="90"/>
      <c r="AA38" s="90"/>
      <c r="AB38" s="90"/>
      <c r="AC38" s="90"/>
      <c r="AD38" s="32"/>
      <c r="AE38" s="31"/>
      <c r="AF38" s="31"/>
      <c r="AH38" s="37"/>
      <c r="AI38" s="37"/>
      <c r="AJ38" s="37"/>
      <c r="AK38" s="37"/>
      <c r="AL38" s="37"/>
    </row>
    <row r="39" spans="1:38" ht="17.25" customHeight="1">
      <c r="A39" s="21"/>
      <c r="B39" s="75"/>
      <c r="C39" s="77"/>
      <c r="D39" s="89">
        <f>D37*0.1/100</f>
        <v>0.0089126559714795</v>
      </c>
      <c r="E39" s="44" t="s">
        <v>72</v>
      </c>
      <c r="F39" s="22"/>
      <c r="G39" s="22"/>
      <c r="H39" s="22"/>
      <c r="I39" s="22"/>
      <c r="J39" s="22"/>
      <c r="K39" s="41"/>
      <c r="L39" s="20"/>
      <c r="M39" s="179"/>
      <c r="N39" s="88">
        <f>N38/1.36</f>
        <v>88.23529411764706</v>
      </c>
      <c r="O39" s="30" t="s">
        <v>43</v>
      </c>
      <c r="P39" s="87"/>
      <c r="Q39" s="186" t="s">
        <v>105</v>
      </c>
      <c r="R39" s="186"/>
      <c r="S39" s="30"/>
      <c r="T39" s="30"/>
      <c r="U39" s="42"/>
      <c r="V39" s="52"/>
      <c r="W39" s="90"/>
      <c r="X39" s="52"/>
      <c r="Y39" s="52"/>
      <c r="Z39" s="52"/>
      <c r="AA39" s="52"/>
      <c r="AB39" s="52"/>
      <c r="AC39" s="52"/>
      <c r="AD39" s="32"/>
      <c r="AE39" s="31"/>
      <c r="AF39" s="31"/>
      <c r="AH39" s="37"/>
      <c r="AI39" s="37"/>
      <c r="AJ39" s="37"/>
      <c r="AK39" s="37"/>
      <c r="AL39" s="37"/>
    </row>
    <row r="40" spans="1:38" ht="17.25" customHeight="1">
      <c r="A40" s="21"/>
      <c r="B40" s="163" t="s">
        <v>71</v>
      </c>
      <c r="C40" s="164"/>
      <c r="D40" s="91">
        <v>1</v>
      </c>
      <c r="E40" s="44" t="s">
        <v>45</v>
      </c>
      <c r="F40" s="22"/>
      <c r="G40" s="22"/>
      <c r="H40" s="22"/>
      <c r="I40" s="22"/>
      <c r="J40" s="22"/>
      <c r="K40" s="41"/>
      <c r="L40" s="64"/>
      <c r="M40" s="180" t="s">
        <v>106</v>
      </c>
      <c r="N40" s="52">
        <f>+I60</f>
        <v>560</v>
      </c>
      <c r="O40" s="30" t="s">
        <v>46</v>
      </c>
      <c r="P40" s="30"/>
      <c r="Q40" s="186"/>
      <c r="R40" s="186"/>
      <c r="S40" s="30"/>
      <c r="T40" s="30"/>
      <c r="U40" s="42"/>
      <c r="V40" s="88"/>
      <c r="W40" s="52"/>
      <c r="X40" s="88"/>
      <c r="Y40" s="88"/>
      <c r="Z40" s="88"/>
      <c r="AA40" s="88"/>
      <c r="AB40" s="88"/>
      <c r="AC40" s="88"/>
      <c r="AD40" s="32"/>
      <c r="AE40" s="31"/>
      <c r="AF40" s="31"/>
      <c r="AH40" s="37"/>
      <c r="AI40" s="37"/>
      <c r="AJ40" s="37"/>
      <c r="AK40" s="37"/>
      <c r="AL40" s="37"/>
    </row>
    <row r="41" spans="1:38" ht="17.25" customHeight="1">
      <c r="A41" s="21"/>
      <c r="B41" s="71" t="s">
        <v>73</v>
      </c>
      <c r="C41" s="72"/>
      <c r="D41" s="92">
        <f>D40*D36</f>
        <v>13.235294117647058</v>
      </c>
      <c r="E41" s="74" t="s">
        <v>31</v>
      </c>
      <c r="F41" s="22"/>
      <c r="G41" s="22"/>
      <c r="H41" s="22"/>
      <c r="I41" s="22"/>
      <c r="J41" s="22"/>
      <c r="K41" s="28"/>
      <c r="L41" s="64"/>
      <c r="M41" s="180"/>
      <c r="N41" s="93">
        <f>N39*N40</f>
        <v>49411.76470588235</v>
      </c>
      <c r="O41" s="30" t="s">
        <v>28</v>
      </c>
      <c r="P41" s="30"/>
      <c r="Q41" s="88" t="s">
        <v>26</v>
      </c>
      <c r="R41" s="90" t="s">
        <v>107</v>
      </c>
      <c r="S41" s="30"/>
      <c r="T41" s="30"/>
      <c r="U41" s="42"/>
      <c r="V41" s="88"/>
      <c r="W41" s="88"/>
      <c r="X41" s="88"/>
      <c r="Y41" s="88"/>
      <c r="Z41" s="88"/>
      <c r="AA41" s="88"/>
      <c r="AB41" s="88"/>
      <c r="AC41" s="88"/>
      <c r="AD41" s="32"/>
      <c r="AE41" s="31"/>
      <c r="AF41" s="31"/>
      <c r="AH41" s="37"/>
      <c r="AI41" s="37"/>
      <c r="AJ41" s="37"/>
      <c r="AK41" s="37"/>
      <c r="AL41" s="37"/>
    </row>
    <row r="42" spans="1:38" ht="17.25" customHeight="1">
      <c r="A42" s="21"/>
      <c r="B42" s="94"/>
      <c r="C42" s="95"/>
      <c r="D42" s="96">
        <f>D37*D40</f>
        <v>8.912655971479499</v>
      </c>
      <c r="E42" s="97" t="s">
        <v>39</v>
      </c>
      <c r="F42" s="22"/>
      <c r="G42" s="22"/>
      <c r="H42" s="22"/>
      <c r="I42" s="22"/>
      <c r="J42" s="22"/>
      <c r="K42" s="41"/>
      <c r="L42" s="64"/>
      <c r="M42" s="180" t="s">
        <v>108</v>
      </c>
      <c r="N42" s="93">
        <v>12000</v>
      </c>
      <c r="O42" s="30" t="s">
        <v>44</v>
      </c>
      <c r="P42" s="30"/>
      <c r="Q42" s="93">
        <v>500</v>
      </c>
      <c r="R42" s="88">
        <f>$N$41/$N$42+$N$41/($N$43*Q42)+($N$41*$N$44*0.6)/(Q42*100)+($N$41*(($N$46+$N$45)/(Q42*100)))+$N$39*$N$48*$N$47</f>
        <v>14.967058823529412</v>
      </c>
      <c r="S42" s="30"/>
      <c r="T42" s="30"/>
      <c r="U42" s="30"/>
      <c r="V42" s="88"/>
      <c r="W42" s="88"/>
      <c r="X42" s="88"/>
      <c r="Y42" s="88"/>
      <c r="Z42" s="88"/>
      <c r="AA42" s="88"/>
      <c r="AB42" s="88"/>
      <c r="AC42" s="88"/>
      <c r="AD42" s="32"/>
      <c r="AE42" s="31"/>
      <c r="AF42" s="31"/>
      <c r="AH42" s="37"/>
      <c r="AI42" s="37"/>
      <c r="AJ42" s="37"/>
      <c r="AK42" s="37"/>
      <c r="AL42" s="37"/>
    </row>
    <row r="43" spans="1:38" ht="17.25" customHeight="1">
      <c r="A43" s="21"/>
      <c r="B43" s="22"/>
      <c r="C43" s="22"/>
      <c r="D43" s="83"/>
      <c r="E43" s="25"/>
      <c r="F43" s="22"/>
      <c r="G43" s="22"/>
      <c r="H43" s="22"/>
      <c r="I43" s="22"/>
      <c r="J43" s="22"/>
      <c r="K43" s="41"/>
      <c r="L43" s="64"/>
      <c r="M43" s="180"/>
      <c r="N43" s="52">
        <v>20</v>
      </c>
      <c r="O43" s="30" t="s">
        <v>33</v>
      </c>
      <c r="P43" s="30"/>
      <c r="Q43" s="93">
        <v>1000</v>
      </c>
      <c r="R43" s="88">
        <f>$N$41/$N$42+$N$41/($N$43*Q43)+($N$41*$N$44*0.6)/(Q43*100)+($N$41*(($N$46+$N$45)/(Q43*100)))+$N$39*$N$48*$N$47</f>
        <v>10.865882352941176</v>
      </c>
      <c r="S43" s="30"/>
      <c r="T43" s="30"/>
      <c r="U43" s="30"/>
      <c r="V43" s="88"/>
      <c r="W43" s="88"/>
      <c r="X43" s="88"/>
      <c r="Y43" s="88"/>
      <c r="Z43" s="88"/>
      <c r="AA43" s="88"/>
      <c r="AB43" s="88"/>
      <c r="AC43" s="88"/>
      <c r="AD43" s="32"/>
      <c r="AE43" s="31"/>
      <c r="AF43" s="31"/>
      <c r="AH43" s="37"/>
      <c r="AI43" s="37"/>
      <c r="AJ43" s="37"/>
      <c r="AK43" s="37"/>
      <c r="AL43" s="37"/>
    </row>
    <row r="44" spans="1:38" ht="17.25" customHeight="1">
      <c r="A44" s="21"/>
      <c r="B44" s="176" t="s">
        <v>70</v>
      </c>
      <c r="C44" s="177"/>
      <c r="D44" s="84"/>
      <c r="E44" s="98"/>
      <c r="F44" s="99"/>
      <c r="G44" s="100"/>
      <c r="H44" s="22"/>
      <c r="I44" s="172" t="s">
        <v>102</v>
      </c>
      <c r="J44" s="172"/>
      <c r="K44" s="101"/>
      <c r="L44" s="20"/>
      <c r="M44" s="29" t="s">
        <v>109</v>
      </c>
      <c r="N44" s="102">
        <f>+D51</f>
        <v>5</v>
      </c>
      <c r="O44" s="30" t="s">
        <v>15</v>
      </c>
      <c r="P44" s="30"/>
      <c r="Q44" s="30"/>
      <c r="R44" s="30"/>
      <c r="S44" s="30"/>
      <c r="T44" s="30"/>
      <c r="U44" s="30"/>
      <c r="V44" s="30"/>
      <c r="W44" s="88"/>
      <c r="X44" s="30"/>
      <c r="Y44" s="30"/>
      <c r="Z44" s="31"/>
      <c r="AA44" s="31"/>
      <c r="AB44" s="31"/>
      <c r="AC44" s="31"/>
      <c r="AD44" s="32"/>
      <c r="AE44" s="31"/>
      <c r="AF44" s="31"/>
      <c r="AH44" s="37"/>
      <c r="AI44" s="37"/>
      <c r="AJ44" s="37"/>
      <c r="AK44" s="37"/>
      <c r="AL44" s="37"/>
    </row>
    <row r="45" spans="1:38" ht="17.25" customHeight="1">
      <c r="A45" s="21"/>
      <c r="B45" s="163" t="s">
        <v>25</v>
      </c>
      <c r="C45" s="164"/>
      <c r="D45" s="62">
        <f>IF(AD46=TRUE,J45,J46)</f>
        <v>100</v>
      </c>
      <c r="E45" s="103" t="s">
        <v>26</v>
      </c>
      <c r="F45" s="77"/>
      <c r="G45" s="104"/>
      <c r="H45" s="105"/>
      <c r="I45" s="47" t="s">
        <v>3</v>
      </c>
      <c r="J45" s="106">
        <v>100</v>
      </c>
      <c r="K45" s="101"/>
      <c r="L45" s="20"/>
      <c r="M45" s="29" t="s">
        <v>47</v>
      </c>
      <c r="N45" s="102">
        <v>0.2</v>
      </c>
      <c r="O45" s="30" t="s">
        <v>15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A45" s="31"/>
      <c r="AB45" s="31"/>
      <c r="AC45" s="31"/>
      <c r="AD45" s="32"/>
      <c r="AE45" s="31"/>
      <c r="AF45" s="31"/>
      <c r="AH45" s="37"/>
      <c r="AI45" s="37"/>
      <c r="AJ45" s="37"/>
      <c r="AK45" s="37"/>
      <c r="AL45" s="37"/>
    </row>
    <row r="46" spans="1:38" ht="17.25" customHeight="1">
      <c r="A46" s="21"/>
      <c r="B46" s="54"/>
      <c r="C46" s="55"/>
      <c r="D46" s="62"/>
      <c r="E46" s="107"/>
      <c r="F46" s="77"/>
      <c r="G46" s="104"/>
      <c r="H46" s="105"/>
      <c r="I46" s="47" t="s">
        <v>6</v>
      </c>
      <c r="J46" s="108">
        <v>200</v>
      </c>
      <c r="K46" s="101"/>
      <c r="L46" s="20"/>
      <c r="M46" s="29" t="s">
        <v>48</v>
      </c>
      <c r="N46" s="102">
        <v>0.1</v>
      </c>
      <c r="O46" s="30" t="s">
        <v>15</v>
      </c>
      <c r="P46" s="30"/>
      <c r="Q46" s="30"/>
      <c r="R46" s="30"/>
      <c r="S46" s="30"/>
      <c r="T46" s="30"/>
      <c r="U46" s="87"/>
      <c r="V46" s="30"/>
      <c r="W46" s="30"/>
      <c r="X46" s="30"/>
      <c r="Y46" s="30"/>
      <c r="Z46" s="31"/>
      <c r="AA46" s="31"/>
      <c r="AB46" s="31"/>
      <c r="AC46" s="31"/>
      <c r="AD46" s="32" t="b">
        <v>1</v>
      </c>
      <c r="AE46" s="31"/>
      <c r="AF46" s="31"/>
      <c r="AH46" s="37"/>
      <c r="AI46" s="37"/>
      <c r="AJ46" s="37"/>
      <c r="AK46" s="37"/>
      <c r="AL46" s="37"/>
    </row>
    <row r="47" spans="1:38" ht="17.25" customHeight="1">
      <c r="A47" s="21"/>
      <c r="B47" s="163" t="s">
        <v>27</v>
      </c>
      <c r="C47" s="164"/>
      <c r="D47" s="49">
        <f>F47*AG16</f>
        <v>19800</v>
      </c>
      <c r="E47" s="103" t="s">
        <v>28</v>
      </c>
      <c r="F47" s="109">
        <v>3300</v>
      </c>
      <c r="G47" s="110" t="s">
        <v>121</v>
      </c>
      <c r="H47" s="22"/>
      <c r="I47" s="22"/>
      <c r="J47" s="22"/>
      <c r="K47" s="28"/>
      <c r="L47" s="20"/>
      <c r="M47" s="111" t="s">
        <v>110</v>
      </c>
      <c r="N47" s="102">
        <v>0.2</v>
      </c>
      <c r="O47" s="112" t="s">
        <v>45</v>
      </c>
      <c r="P47" s="30"/>
      <c r="Q47" s="30"/>
      <c r="R47" s="30"/>
      <c r="S47" s="30"/>
      <c r="T47" s="30"/>
      <c r="U47" s="30"/>
      <c r="V47" s="90"/>
      <c r="W47" s="30"/>
      <c r="X47" s="30"/>
      <c r="Y47" s="30"/>
      <c r="Z47" s="31"/>
      <c r="AA47" s="31"/>
      <c r="AB47" s="31"/>
      <c r="AC47" s="31"/>
      <c r="AD47" s="32" t="b">
        <v>0</v>
      </c>
      <c r="AE47" s="31"/>
      <c r="AF47" s="31"/>
      <c r="AH47" s="37"/>
      <c r="AI47" s="37"/>
      <c r="AJ47" s="37"/>
      <c r="AK47" s="37"/>
      <c r="AL47" s="37"/>
    </row>
    <row r="48" spans="1:38" ht="17.25" customHeight="1">
      <c r="A48" s="21"/>
      <c r="B48" s="75"/>
      <c r="C48" s="77"/>
      <c r="D48" s="49"/>
      <c r="E48" s="107"/>
      <c r="F48" s="77"/>
      <c r="G48" s="113"/>
      <c r="H48" s="22"/>
      <c r="I48" s="22"/>
      <c r="J48" s="22"/>
      <c r="K48" s="41"/>
      <c r="L48" s="20"/>
      <c r="M48" s="111" t="s">
        <v>111</v>
      </c>
      <c r="N48" s="114">
        <v>0.15</v>
      </c>
      <c r="O48" s="112" t="s">
        <v>49</v>
      </c>
      <c r="P48" s="30"/>
      <c r="Q48" s="30"/>
      <c r="R48" s="30"/>
      <c r="S48" s="30"/>
      <c r="T48" s="30"/>
      <c r="U48" s="30"/>
      <c r="V48" s="52"/>
      <c r="W48" s="30"/>
      <c r="X48" s="30"/>
      <c r="Y48" s="30"/>
      <c r="Z48" s="31"/>
      <c r="AA48" s="31"/>
      <c r="AB48" s="31"/>
      <c r="AC48" s="31"/>
      <c r="AD48" s="32"/>
      <c r="AE48" s="31"/>
      <c r="AF48" s="31"/>
      <c r="AH48" s="37"/>
      <c r="AI48" s="37"/>
      <c r="AJ48" s="37"/>
      <c r="AK48" s="37"/>
      <c r="AL48" s="37"/>
    </row>
    <row r="49" spans="1:38" ht="17.25" customHeight="1">
      <c r="A49" s="21"/>
      <c r="B49" s="163" t="s">
        <v>29</v>
      </c>
      <c r="C49" s="164"/>
      <c r="D49" s="115">
        <v>1200</v>
      </c>
      <c r="E49" s="103" t="s">
        <v>30</v>
      </c>
      <c r="F49" s="116">
        <f>+$D$47/$D49</f>
        <v>16.5</v>
      </c>
      <c r="G49" s="110" t="s">
        <v>31</v>
      </c>
      <c r="H49" s="22"/>
      <c r="I49" s="22"/>
      <c r="J49" s="22"/>
      <c r="K49" s="41"/>
      <c r="L49" s="20"/>
      <c r="M49" s="30"/>
      <c r="N49" s="30"/>
      <c r="O49" s="30"/>
      <c r="P49" s="30"/>
      <c r="Q49" s="30"/>
      <c r="R49" s="30"/>
      <c r="S49" s="30"/>
      <c r="T49" s="30"/>
      <c r="U49" s="30"/>
      <c r="V49" s="88"/>
      <c r="W49" s="30"/>
      <c r="X49" s="30"/>
      <c r="Y49" s="30"/>
      <c r="Z49" s="31"/>
      <c r="AA49" s="31"/>
      <c r="AB49" s="31"/>
      <c r="AC49" s="31"/>
      <c r="AD49" s="32"/>
      <c r="AE49" s="31"/>
      <c r="AF49" s="31"/>
      <c r="AH49" s="37"/>
      <c r="AI49" s="37"/>
      <c r="AJ49" s="37"/>
      <c r="AK49" s="37"/>
      <c r="AL49" s="37"/>
    </row>
    <row r="50" spans="1:38" ht="17.25" customHeight="1">
      <c r="A50" s="21"/>
      <c r="B50" s="163" t="s">
        <v>32</v>
      </c>
      <c r="C50" s="164"/>
      <c r="D50" s="117">
        <v>20</v>
      </c>
      <c r="E50" s="103" t="s">
        <v>33</v>
      </c>
      <c r="F50" s="116">
        <f>+$D$47/($D50*D45)</f>
        <v>9.9</v>
      </c>
      <c r="G50" s="110" t="s">
        <v>31</v>
      </c>
      <c r="H50" s="22"/>
      <c r="I50" s="22"/>
      <c r="J50" s="22"/>
      <c r="K50" s="118"/>
      <c r="L50" s="20"/>
      <c r="M50" s="30"/>
      <c r="N50" s="30"/>
      <c r="O50" s="30"/>
      <c r="P50" s="30"/>
      <c r="Q50" s="30"/>
      <c r="R50" s="30"/>
      <c r="S50" s="30"/>
      <c r="T50" s="30"/>
      <c r="U50" s="30"/>
      <c r="V50" s="88"/>
      <c r="W50" s="30"/>
      <c r="X50" s="30"/>
      <c r="Y50" s="30"/>
      <c r="Z50" s="31"/>
      <c r="AA50" s="31"/>
      <c r="AB50" s="31"/>
      <c r="AC50" s="31"/>
      <c r="AD50" s="32"/>
      <c r="AE50" s="31"/>
      <c r="AF50" s="31"/>
      <c r="AH50" s="37"/>
      <c r="AI50" s="37"/>
      <c r="AJ50" s="37"/>
      <c r="AK50" s="37"/>
      <c r="AL50" s="37"/>
    </row>
    <row r="51" spans="1:38" ht="17.25" customHeight="1">
      <c r="A51" s="21"/>
      <c r="B51" s="163" t="s">
        <v>34</v>
      </c>
      <c r="C51" s="164"/>
      <c r="D51" s="117">
        <v>5</v>
      </c>
      <c r="E51" s="103" t="s">
        <v>15</v>
      </c>
      <c r="F51" s="116">
        <f>+$D$47*0.006*$D51/D45</f>
        <v>5.94</v>
      </c>
      <c r="G51" s="110" t="s">
        <v>31</v>
      </c>
      <c r="H51" s="22"/>
      <c r="I51" s="189" t="str">
        <f>CONCATENATE("Vida útil para ",D45," h/año")</f>
        <v>Vida útil para 100 h/año</v>
      </c>
      <c r="J51" s="189"/>
      <c r="K51" s="28"/>
      <c r="L51" s="20"/>
      <c r="M51" s="171" t="s">
        <v>83</v>
      </c>
      <c r="N51" s="171" t="s">
        <v>84</v>
      </c>
      <c r="O51" s="171" t="s">
        <v>85</v>
      </c>
      <c r="P51" s="171" t="s">
        <v>95</v>
      </c>
      <c r="Q51" s="171" t="s">
        <v>90</v>
      </c>
      <c r="R51" s="171" t="s">
        <v>91</v>
      </c>
      <c r="S51" s="30"/>
      <c r="T51" s="30"/>
      <c r="U51" s="30"/>
      <c r="V51" s="88"/>
      <c r="W51" s="30"/>
      <c r="X51" s="30"/>
      <c r="Y51" s="30"/>
      <c r="Z51" s="31"/>
      <c r="AA51" s="31"/>
      <c r="AB51" s="31"/>
      <c r="AC51" s="31"/>
      <c r="AD51" s="32"/>
      <c r="AE51" s="31"/>
      <c r="AF51" s="31"/>
      <c r="AH51" s="37"/>
      <c r="AI51" s="37"/>
      <c r="AJ51" s="37"/>
      <c r="AK51" s="37"/>
      <c r="AL51" s="37"/>
    </row>
    <row r="52" spans="1:38" ht="17.25" customHeight="1">
      <c r="A52" s="21"/>
      <c r="B52" s="163" t="s">
        <v>35</v>
      </c>
      <c r="C52" s="164"/>
      <c r="D52" s="117">
        <v>0.2</v>
      </c>
      <c r="E52" s="103" t="s">
        <v>36</v>
      </c>
      <c r="F52" s="116">
        <f>+$D$47*$D52/(100*D45)</f>
        <v>0.396</v>
      </c>
      <c r="G52" s="110" t="s">
        <v>31</v>
      </c>
      <c r="H52" s="22"/>
      <c r="I52" s="119" t="s">
        <v>30</v>
      </c>
      <c r="J52" s="120">
        <f>+$D$47/($F$49+$F$50)</f>
        <v>750</v>
      </c>
      <c r="K52" s="28"/>
      <c r="L52" s="20"/>
      <c r="M52" s="171"/>
      <c r="N52" s="171"/>
      <c r="O52" s="171"/>
      <c r="P52" s="171"/>
      <c r="Q52" s="171"/>
      <c r="R52" s="171"/>
      <c r="S52" s="30"/>
      <c r="T52" s="30"/>
      <c r="U52" s="30"/>
      <c r="V52" s="88"/>
      <c r="W52" s="30"/>
      <c r="X52" s="30"/>
      <c r="Y52" s="30"/>
      <c r="Z52" s="31"/>
      <c r="AA52" s="31"/>
      <c r="AB52" s="31"/>
      <c r="AC52" s="31"/>
      <c r="AD52" s="32"/>
      <c r="AE52" s="31"/>
      <c r="AF52" s="31"/>
      <c r="AH52" s="37"/>
      <c r="AI52" s="37"/>
      <c r="AJ52" s="37"/>
      <c r="AK52" s="37"/>
      <c r="AL52" s="37"/>
    </row>
    <row r="53" spans="1:38" ht="17.25" customHeight="1">
      <c r="A53" s="21"/>
      <c r="B53" s="163" t="s">
        <v>37</v>
      </c>
      <c r="C53" s="164"/>
      <c r="D53" s="117">
        <v>0.1</v>
      </c>
      <c r="E53" s="103" t="s">
        <v>36</v>
      </c>
      <c r="F53" s="116">
        <f>+$D$47*$D53/(D45*100)</f>
        <v>0.198</v>
      </c>
      <c r="G53" s="110" t="s">
        <v>31</v>
      </c>
      <c r="H53" s="22"/>
      <c r="I53" s="119" t="s">
        <v>33</v>
      </c>
      <c r="J53" s="121">
        <f>+$D$47/($D$45*($F$49+$F$50))</f>
        <v>7.5</v>
      </c>
      <c r="K53" s="122"/>
      <c r="L53" s="20"/>
      <c r="M53" s="52">
        <v>180</v>
      </c>
      <c r="N53" s="58">
        <v>75</v>
      </c>
      <c r="O53" s="58">
        <f aca="true" t="shared" si="0" ref="O53:O64">N53/100*M53</f>
        <v>135</v>
      </c>
      <c r="P53" s="123">
        <f aca="true" t="shared" si="1" ref="P53:P64">0.75*O53</f>
        <v>101.25</v>
      </c>
      <c r="Q53" s="59">
        <f aca="true" t="shared" si="2" ref="Q53:Q64">M$16+M$16*D$19/100</f>
        <v>5.598</v>
      </c>
      <c r="R53" s="123">
        <f aca="true" t="shared" si="3" ref="R53:R64">P53/(Q53*1.36)</f>
        <v>13.299129941365614</v>
      </c>
      <c r="S53" s="30"/>
      <c r="T53" s="30"/>
      <c r="U53" s="30"/>
      <c r="V53" s="30"/>
      <c r="W53" s="30"/>
      <c r="X53" s="30"/>
      <c r="Y53" s="30"/>
      <c r="Z53" s="31"/>
      <c r="AA53" s="31"/>
      <c r="AB53" s="31"/>
      <c r="AC53" s="31"/>
      <c r="AD53" s="32"/>
      <c r="AE53" s="31"/>
      <c r="AF53" s="31"/>
      <c r="AH53" s="37"/>
      <c r="AI53" s="37"/>
      <c r="AJ53" s="37"/>
      <c r="AK53" s="37"/>
      <c r="AL53" s="37"/>
    </row>
    <row r="54" spans="1:38" ht="17.25" customHeight="1" thickBot="1">
      <c r="A54" s="21"/>
      <c r="B54" s="190" t="s">
        <v>38</v>
      </c>
      <c r="C54" s="191"/>
      <c r="D54" s="124">
        <v>0.75</v>
      </c>
      <c r="E54" s="125" t="s">
        <v>39</v>
      </c>
      <c r="F54" s="126">
        <f>+D54/D26</f>
        <v>1.11375</v>
      </c>
      <c r="G54" s="127" t="s">
        <v>31</v>
      </c>
      <c r="H54" s="22"/>
      <c r="I54" s="22"/>
      <c r="J54" s="22"/>
      <c r="K54" s="128"/>
      <c r="L54" s="20"/>
      <c r="M54" s="52">
        <v>180</v>
      </c>
      <c r="N54" s="58">
        <v>50</v>
      </c>
      <c r="O54" s="58">
        <f t="shared" si="0"/>
        <v>90</v>
      </c>
      <c r="P54" s="123">
        <f t="shared" si="1"/>
        <v>67.5</v>
      </c>
      <c r="Q54" s="59">
        <f t="shared" si="2"/>
        <v>5.598</v>
      </c>
      <c r="R54" s="123">
        <f t="shared" si="3"/>
        <v>8.866086627577076</v>
      </c>
      <c r="S54" s="52"/>
      <c r="T54" s="30"/>
      <c r="U54" s="30"/>
      <c r="V54" s="30"/>
      <c r="W54" s="30"/>
      <c r="X54" s="30"/>
      <c r="Y54" s="30"/>
      <c r="Z54" s="31"/>
      <c r="AA54" s="31"/>
      <c r="AB54" s="31"/>
      <c r="AC54" s="31"/>
      <c r="AD54" s="32"/>
      <c r="AE54" s="31"/>
      <c r="AF54" s="31"/>
      <c r="AH54" s="37"/>
      <c r="AI54" s="37"/>
      <c r="AJ54" s="37"/>
      <c r="AK54" s="37"/>
      <c r="AL54" s="37"/>
    </row>
    <row r="55" spans="1:38" ht="17.25" customHeight="1" thickTop="1">
      <c r="A55" s="21"/>
      <c r="B55" s="71" t="s">
        <v>40</v>
      </c>
      <c r="C55" s="20"/>
      <c r="D55" s="107"/>
      <c r="E55" s="107"/>
      <c r="F55" s="116">
        <f>SUM(F49:F54)</f>
        <v>34.04775</v>
      </c>
      <c r="G55" s="110" t="s">
        <v>31</v>
      </c>
      <c r="H55" s="22"/>
      <c r="I55" s="22"/>
      <c r="J55" s="22"/>
      <c r="K55" s="129"/>
      <c r="L55" s="20"/>
      <c r="M55" s="52">
        <v>180</v>
      </c>
      <c r="N55" s="58">
        <v>25</v>
      </c>
      <c r="O55" s="58">
        <f t="shared" si="0"/>
        <v>45</v>
      </c>
      <c r="P55" s="123">
        <f t="shared" si="1"/>
        <v>33.75</v>
      </c>
      <c r="Q55" s="59">
        <f t="shared" si="2"/>
        <v>5.598</v>
      </c>
      <c r="R55" s="123">
        <f t="shared" si="3"/>
        <v>4.433043313788538</v>
      </c>
      <c r="S55" s="52"/>
      <c r="T55" s="30"/>
      <c r="U55" s="30"/>
      <c r="V55" s="30"/>
      <c r="W55" s="30"/>
      <c r="X55" s="30"/>
      <c r="Y55" s="30"/>
      <c r="Z55" s="31"/>
      <c r="AA55" s="31"/>
      <c r="AB55" s="31"/>
      <c r="AC55" s="31"/>
      <c r="AD55" s="32"/>
      <c r="AE55" s="31"/>
      <c r="AF55" s="31"/>
      <c r="AH55" s="37"/>
      <c r="AI55" s="37"/>
      <c r="AJ55" s="37"/>
      <c r="AK55" s="37"/>
      <c r="AL55" s="37"/>
    </row>
    <row r="56" spans="1:38" ht="17.25" customHeight="1">
      <c r="A56" s="21"/>
      <c r="B56" s="130"/>
      <c r="C56" s="131"/>
      <c r="D56" s="132"/>
      <c r="E56" s="132"/>
      <c r="F56" s="133">
        <f>+F55*D26</f>
        <v>22.927777777777777</v>
      </c>
      <c r="G56" s="134" t="s">
        <v>39</v>
      </c>
      <c r="H56" s="22"/>
      <c r="I56" s="22"/>
      <c r="J56" s="22"/>
      <c r="K56" s="28"/>
      <c r="L56" s="20"/>
      <c r="M56" s="52">
        <v>150</v>
      </c>
      <c r="N56" s="58">
        <v>75</v>
      </c>
      <c r="O56" s="58">
        <f t="shared" si="0"/>
        <v>112.5</v>
      </c>
      <c r="P56" s="123">
        <f t="shared" si="1"/>
        <v>84.375</v>
      </c>
      <c r="Q56" s="59">
        <f t="shared" si="2"/>
        <v>5.598</v>
      </c>
      <c r="R56" s="123">
        <f t="shared" si="3"/>
        <v>11.082608284471345</v>
      </c>
      <c r="S56" s="52"/>
      <c r="T56" s="30"/>
      <c r="U56" s="30"/>
      <c r="V56" s="30"/>
      <c r="W56" s="30"/>
      <c r="X56" s="30"/>
      <c r="Y56" s="30"/>
      <c r="Z56" s="31"/>
      <c r="AA56" s="31"/>
      <c r="AB56" s="31"/>
      <c r="AC56" s="31"/>
      <c r="AD56" s="32"/>
      <c r="AE56" s="31"/>
      <c r="AF56" s="31"/>
      <c r="AH56" s="37"/>
      <c r="AI56" s="37"/>
      <c r="AJ56" s="37"/>
      <c r="AK56" s="37"/>
      <c r="AL56" s="37"/>
    </row>
    <row r="57" spans="1:38" ht="17.25" customHeight="1">
      <c r="A57" s="21"/>
      <c r="B57" s="22"/>
      <c r="C57" s="22"/>
      <c r="D57" s="25"/>
      <c r="E57" s="25"/>
      <c r="F57" s="22"/>
      <c r="G57" s="27"/>
      <c r="H57" s="22"/>
      <c r="I57" s="22"/>
      <c r="J57" s="22"/>
      <c r="K57" s="28"/>
      <c r="L57" s="20"/>
      <c r="M57" s="52">
        <v>150</v>
      </c>
      <c r="N57" s="58">
        <v>50</v>
      </c>
      <c r="O57" s="58">
        <f t="shared" si="0"/>
        <v>75</v>
      </c>
      <c r="P57" s="123">
        <f t="shared" si="1"/>
        <v>56.25</v>
      </c>
      <c r="Q57" s="59">
        <f t="shared" si="2"/>
        <v>5.598</v>
      </c>
      <c r="R57" s="123">
        <f t="shared" si="3"/>
        <v>7.3884055229808965</v>
      </c>
      <c r="S57" s="30"/>
      <c r="T57" s="30"/>
      <c r="U57" s="30"/>
      <c r="V57" s="30"/>
      <c r="W57" s="30"/>
      <c r="X57" s="30"/>
      <c r="Y57" s="30"/>
      <c r="Z57" s="31"/>
      <c r="AA57" s="31"/>
      <c r="AB57" s="31"/>
      <c r="AC57" s="31"/>
      <c r="AD57" s="32"/>
      <c r="AE57" s="31"/>
      <c r="AF57" s="31"/>
      <c r="AH57" s="37"/>
      <c r="AI57" s="37"/>
      <c r="AJ57" s="37"/>
      <c r="AK57" s="37"/>
      <c r="AL57" s="37"/>
    </row>
    <row r="58" spans="1:38" ht="17.25" customHeight="1">
      <c r="A58" s="21"/>
      <c r="B58" s="175" t="s">
        <v>42</v>
      </c>
      <c r="C58" s="175"/>
      <c r="D58" s="175"/>
      <c r="E58" s="188" t="s">
        <v>112</v>
      </c>
      <c r="F58" s="188"/>
      <c r="G58" s="135"/>
      <c r="H58" s="22"/>
      <c r="I58" s="22"/>
      <c r="J58" s="22"/>
      <c r="K58" s="28"/>
      <c r="L58" s="20"/>
      <c r="M58" s="52">
        <v>150</v>
      </c>
      <c r="N58" s="58">
        <v>25</v>
      </c>
      <c r="O58" s="58">
        <f t="shared" si="0"/>
        <v>37.5</v>
      </c>
      <c r="P58" s="123">
        <f t="shared" si="1"/>
        <v>28.125</v>
      </c>
      <c r="Q58" s="59">
        <f t="shared" si="2"/>
        <v>5.598</v>
      </c>
      <c r="R58" s="123">
        <f t="shared" si="3"/>
        <v>3.6942027614904482</v>
      </c>
      <c r="S58" s="30"/>
      <c r="T58" s="30"/>
      <c r="U58" s="30"/>
      <c r="V58" s="30"/>
      <c r="W58" s="30"/>
      <c r="X58" s="30"/>
      <c r="Y58" s="30"/>
      <c r="Z58" s="31"/>
      <c r="AA58" s="31"/>
      <c r="AB58" s="31"/>
      <c r="AC58" s="31"/>
      <c r="AD58" s="32"/>
      <c r="AE58" s="31"/>
      <c r="AF58" s="31"/>
      <c r="AH58" s="37"/>
      <c r="AI58" s="37"/>
      <c r="AJ58" s="37"/>
      <c r="AK58" s="37"/>
      <c r="AL58" s="37"/>
    </row>
    <row r="59" spans="1:38" ht="17.25" customHeight="1">
      <c r="A59" s="21"/>
      <c r="B59" s="174" t="s">
        <v>98</v>
      </c>
      <c r="C59" s="174"/>
      <c r="D59" s="136" t="s">
        <v>99</v>
      </c>
      <c r="E59" s="137" t="s">
        <v>31</v>
      </c>
      <c r="F59" s="137" t="s">
        <v>39</v>
      </c>
      <c r="G59" s="135"/>
      <c r="H59" s="22"/>
      <c r="I59" s="174" t="s">
        <v>118</v>
      </c>
      <c r="J59" s="174"/>
      <c r="K59" s="28"/>
      <c r="L59" s="20"/>
      <c r="M59" s="52">
        <v>120</v>
      </c>
      <c r="N59" s="58">
        <v>75</v>
      </c>
      <c r="O59" s="58">
        <f t="shared" si="0"/>
        <v>90</v>
      </c>
      <c r="P59" s="123">
        <f t="shared" si="1"/>
        <v>67.5</v>
      </c>
      <c r="Q59" s="59">
        <f t="shared" si="2"/>
        <v>5.598</v>
      </c>
      <c r="R59" s="123">
        <f t="shared" si="3"/>
        <v>8.866086627577076</v>
      </c>
      <c r="S59" s="30"/>
      <c r="T59" s="30"/>
      <c r="U59" s="30"/>
      <c r="V59" s="30"/>
      <c r="W59" s="30"/>
      <c r="X59" s="30"/>
      <c r="Y59" s="30"/>
      <c r="Z59" s="31"/>
      <c r="AA59" s="31"/>
      <c r="AB59" s="31"/>
      <c r="AC59" s="31"/>
      <c r="AD59" s="32"/>
      <c r="AE59" s="31"/>
      <c r="AF59" s="31"/>
      <c r="AH59" s="37"/>
      <c r="AI59" s="37"/>
      <c r="AJ59" s="37"/>
      <c r="AK59" s="37"/>
      <c r="AL59" s="37"/>
    </row>
    <row r="60" spans="1:38" ht="17.25" customHeight="1">
      <c r="A60" s="21"/>
      <c r="B60" s="47"/>
      <c r="C60" s="47" t="s">
        <v>100</v>
      </c>
      <c r="D60" s="138">
        <f>R42</f>
        <v>14.967058823529412</v>
      </c>
      <c r="E60" s="139">
        <f>IF(AD67=TRUE,D60+D41,D60*0)</f>
        <v>28.20235294117647</v>
      </c>
      <c r="F60" s="140">
        <f>E60*$D$26</f>
        <v>18.991483462071695</v>
      </c>
      <c r="G60" s="141">
        <f>IF(AD67=TRUE,F60,F60*0)</f>
        <v>18.991483462071695</v>
      </c>
      <c r="H60" s="22"/>
      <c r="I60" s="142">
        <v>560</v>
      </c>
      <c r="J60" s="67" t="s">
        <v>119</v>
      </c>
      <c r="K60" s="28"/>
      <c r="L60" s="20"/>
      <c r="M60" s="52">
        <v>120</v>
      </c>
      <c r="N60" s="58">
        <v>50</v>
      </c>
      <c r="O60" s="58">
        <f t="shared" si="0"/>
        <v>60</v>
      </c>
      <c r="P60" s="123">
        <f t="shared" si="1"/>
        <v>45</v>
      </c>
      <c r="Q60" s="59">
        <f t="shared" si="2"/>
        <v>5.598</v>
      </c>
      <c r="R60" s="123">
        <f t="shared" si="3"/>
        <v>5.910724418384717</v>
      </c>
      <c r="S60" s="30"/>
      <c r="T60" s="30"/>
      <c r="U60" s="30"/>
      <c r="V60" s="30"/>
      <c r="W60" s="30"/>
      <c r="X60" s="30"/>
      <c r="Y60" s="30"/>
      <c r="Z60" s="31"/>
      <c r="AA60" s="31"/>
      <c r="AB60" s="31"/>
      <c r="AC60" s="31"/>
      <c r="AD60" s="32"/>
      <c r="AE60" s="31"/>
      <c r="AF60" s="31"/>
      <c r="AH60" s="37"/>
      <c r="AI60" s="37"/>
      <c r="AJ60" s="37"/>
      <c r="AK60" s="37"/>
      <c r="AL60" s="37"/>
    </row>
    <row r="61" spans="1:38" ht="17.25" customHeight="1">
      <c r="A61" s="21"/>
      <c r="B61" s="47"/>
      <c r="C61" s="47" t="s">
        <v>101</v>
      </c>
      <c r="D61" s="138">
        <f>R43</f>
        <v>10.865882352941176</v>
      </c>
      <c r="E61" s="139">
        <f>IF(AD68=TRUE,D61+D41,D61*0)</f>
        <v>0</v>
      </c>
      <c r="F61" s="140">
        <f>E61*$D$26</f>
        <v>0</v>
      </c>
      <c r="G61" s="143">
        <f>IF(AD68=TRUE,F61,F61*0)</f>
        <v>0</v>
      </c>
      <c r="H61" s="22"/>
      <c r="I61" s="22"/>
      <c r="J61" s="22"/>
      <c r="K61" s="28"/>
      <c r="L61" s="20"/>
      <c r="M61" s="52">
        <v>120</v>
      </c>
      <c r="N61" s="58">
        <v>25</v>
      </c>
      <c r="O61" s="58">
        <f t="shared" si="0"/>
        <v>30</v>
      </c>
      <c r="P61" s="123">
        <f t="shared" si="1"/>
        <v>22.5</v>
      </c>
      <c r="Q61" s="59">
        <f t="shared" si="2"/>
        <v>5.598</v>
      </c>
      <c r="R61" s="123">
        <f t="shared" si="3"/>
        <v>2.9553622091923586</v>
      </c>
      <c r="S61" s="30"/>
      <c r="T61" s="30"/>
      <c r="U61" s="30"/>
      <c r="V61" s="30"/>
      <c r="W61" s="30"/>
      <c r="X61" s="30"/>
      <c r="Y61" s="30"/>
      <c r="Z61" s="31"/>
      <c r="AA61" s="31"/>
      <c r="AB61" s="31"/>
      <c r="AC61" s="31"/>
      <c r="AD61" s="32"/>
      <c r="AE61" s="31"/>
      <c r="AF61" s="31"/>
      <c r="AH61" s="37"/>
      <c r="AI61" s="37"/>
      <c r="AJ61" s="37"/>
      <c r="AK61" s="37"/>
      <c r="AL61" s="37"/>
    </row>
    <row r="62" spans="1:38" ht="17.25" customHeight="1">
      <c r="A62" s="21"/>
      <c r="B62" s="22"/>
      <c r="C62" s="144"/>
      <c r="D62" s="25"/>
      <c r="E62" s="23"/>
      <c r="F62" s="145"/>
      <c r="G62" s="135"/>
      <c r="H62" s="22"/>
      <c r="I62" s="22"/>
      <c r="J62" s="22"/>
      <c r="K62" s="28"/>
      <c r="L62" s="20"/>
      <c r="M62" s="52">
        <v>90</v>
      </c>
      <c r="N62" s="58">
        <v>75</v>
      </c>
      <c r="O62" s="58">
        <f t="shared" si="0"/>
        <v>67.5</v>
      </c>
      <c r="P62" s="123">
        <f t="shared" si="1"/>
        <v>50.625</v>
      </c>
      <c r="Q62" s="59">
        <f t="shared" si="2"/>
        <v>5.598</v>
      </c>
      <c r="R62" s="123">
        <f t="shared" si="3"/>
        <v>6.649564970682807</v>
      </c>
      <c r="S62" s="30"/>
      <c r="T62" s="30"/>
      <c r="U62" s="30"/>
      <c r="V62" s="30"/>
      <c r="W62" s="30"/>
      <c r="X62" s="30"/>
      <c r="Y62" s="30"/>
      <c r="Z62" s="31"/>
      <c r="AA62" s="31"/>
      <c r="AB62" s="31"/>
      <c r="AC62" s="31"/>
      <c r="AD62" s="32"/>
      <c r="AE62" s="31"/>
      <c r="AF62" s="31"/>
      <c r="AH62" s="37"/>
      <c r="AI62" s="37"/>
      <c r="AJ62" s="37"/>
      <c r="AK62" s="37"/>
      <c r="AL62" s="37"/>
    </row>
    <row r="63" spans="1:38" ht="17.25" customHeight="1">
      <c r="A63" s="21"/>
      <c r="B63" s="187" t="s">
        <v>113</v>
      </c>
      <c r="C63" s="187"/>
      <c r="D63" s="187"/>
      <c r="E63" s="184" t="s">
        <v>40</v>
      </c>
      <c r="F63" s="184"/>
      <c r="G63" s="135"/>
      <c r="H63" s="22"/>
      <c r="I63" s="22"/>
      <c r="J63" s="22"/>
      <c r="K63" s="28"/>
      <c r="L63" s="20"/>
      <c r="M63" s="52">
        <v>90</v>
      </c>
      <c r="N63" s="58">
        <v>50</v>
      </c>
      <c r="O63" s="58">
        <f t="shared" si="0"/>
        <v>45</v>
      </c>
      <c r="P63" s="123">
        <f t="shared" si="1"/>
        <v>33.75</v>
      </c>
      <c r="Q63" s="59">
        <f t="shared" si="2"/>
        <v>5.598</v>
      </c>
      <c r="R63" s="123">
        <f t="shared" si="3"/>
        <v>4.433043313788538</v>
      </c>
      <c r="S63" s="30"/>
      <c r="T63" s="30"/>
      <c r="U63" s="30"/>
      <c r="V63" s="30"/>
      <c r="W63" s="30"/>
      <c r="X63" s="30"/>
      <c r="Y63" s="30"/>
      <c r="Z63" s="31"/>
      <c r="AA63" s="31"/>
      <c r="AB63" s="31"/>
      <c r="AC63" s="31"/>
      <c r="AD63" s="32"/>
      <c r="AE63" s="31"/>
      <c r="AF63" s="31"/>
      <c r="AH63" s="37"/>
      <c r="AI63" s="37"/>
      <c r="AJ63" s="37"/>
      <c r="AK63" s="37"/>
      <c r="AL63" s="37"/>
    </row>
    <row r="64" spans="1:38" ht="17.25" customHeight="1">
      <c r="A64" s="21"/>
      <c r="B64" s="174" t="s">
        <v>98</v>
      </c>
      <c r="C64" s="174"/>
      <c r="D64" s="146" t="s">
        <v>41</v>
      </c>
      <c r="E64" s="184" t="s">
        <v>39</v>
      </c>
      <c r="F64" s="184"/>
      <c r="G64" s="27"/>
      <c r="H64" s="22"/>
      <c r="I64" s="22"/>
      <c r="J64" s="22"/>
      <c r="K64" s="28"/>
      <c r="L64" s="20"/>
      <c r="M64" s="52">
        <v>90</v>
      </c>
      <c r="N64" s="58">
        <v>25</v>
      </c>
      <c r="O64" s="58">
        <f t="shared" si="0"/>
        <v>22.5</v>
      </c>
      <c r="P64" s="123">
        <f t="shared" si="1"/>
        <v>16.875</v>
      </c>
      <c r="Q64" s="59">
        <f t="shared" si="2"/>
        <v>5.598</v>
      </c>
      <c r="R64" s="123">
        <f t="shared" si="3"/>
        <v>2.216521656894269</v>
      </c>
      <c r="S64" s="30"/>
      <c r="T64" s="30"/>
      <c r="U64" s="30"/>
      <c r="V64" s="30"/>
      <c r="W64" s="30"/>
      <c r="X64" s="30"/>
      <c r="Y64" s="30"/>
      <c r="Z64" s="31"/>
      <c r="AA64" s="31"/>
      <c r="AB64" s="31"/>
      <c r="AC64" s="31"/>
      <c r="AD64" s="32"/>
      <c r="AE64" s="31"/>
      <c r="AF64" s="31"/>
      <c r="AH64" s="37"/>
      <c r="AI64" s="37"/>
      <c r="AJ64" s="37"/>
      <c r="AK64" s="37"/>
      <c r="AL64" s="37"/>
    </row>
    <row r="65" spans="1:38" ht="17.25" customHeight="1">
      <c r="A65" s="21"/>
      <c r="B65" s="47"/>
      <c r="C65" s="147" t="str">
        <f>IF(D45=J45,"Baja","Alta")</f>
        <v>Baja</v>
      </c>
      <c r="D65" s="148">
        <f>D45*D27</f>
        <v>148.5</v>
      </c>
      <c r="E65" s="185">
        <f>+F56+$G$60+$G$61</f>
        <v>41.919261239849476</v>
      </c>
      <c r="F65" s="185" t="e">
        <f>$D$25*($D$46/$D$48)+$D$46/($D$49*D65*$D$25)+(($D$46*0.006*$D$50)/(D65*$D$25))+$D$46*($D$51+$D$52)/(100*D65*$D$25)+($D$53/$D$25)+$D$71</f>
        <v>#DIV/0!</v>
      </c>
      <c r="G65" s="27"/>
      <c r="H65" s="22"/>
      <c r="I65" s="22"/>
      <c r="J65" s="22"/>
      <c r="K65" s="28"/>
      <c r="L65" s="2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  <c r="AA65" s="31"/>
      <c r="AB65" s="31"/>
      <c r="AC65" s="31"/>
      <c r="AD65" s="32"/>
      <c r="AE65" s="31"/>
      <c r="AF65" s="31"/>
      <c r="AH65" s="37"/>
      <c r="AI65" s="37"/>
      <c r="AJ65" s="37"/>
      <c r="AK65" s="37"/>
      <c r="AL65" s="37"/>
    </row>
    <row r="66" spans="1:38" ht="17.25" customHeight="1">
      <c r="A66" s="149"/>
      <c r="B66" s="150"/>
      <c r="C66" s="150"/>
      <c r="D66" s="151"/>
      <c r="E66" s="151"/>
      <c r="F66" s="150"/>
      <c r="G66" s="152"/>
      <c r="H66" s="150"/>
      <c r="I66" s="150"/>
      <c r="J66" s="150"/>
      <c r="K66" s="153"/>
      <c r="L66" s="2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31"/>
      <c r="AB66" s="31"/>
      <c r="AC66" s="31"/>
      <c r="AD66" s="32"/>
      <c r="AE66" s="31"/>
      <c r="AF66" s="31"/>
      <c r="AH66" s="37"/>
      <c r="AI66" s="37"/>
      <c r="AJ66" s="37"/>
      <c r="AK66" s="37"/>
      <c r="AL66" s="37"/>
    </row>
    <row r="67" spans="3:38" ht="15.75" customHeight="1">
      <c r="C67" s="154"/>
      <c r="D67" s="155"/>
      <c r="E67" s="156"/>
      <c r="F67" s="157"/>
      <c r="G67" s="158"/>
      <c r="K67" s="20"/>
      <c r="L67" s="2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/>
      <c r="AA67" s="31"/>
      <c r="AB67" s="31"/>
      <c r="AC67" s="31"/>
      <c r="AD67" s="32" t="b">
        <v>1</v>
      </c>
      <c r="AE67" s="31"/>
      <c r="AF67" s="31"/>
      <c r="AH67" s="37"/>
      <c r="AI67" s="37"/>
      <c r="AJ67" s="37"/>
      <c r="AK67" s="37"/>
      <c r="AL67" s="37"/>
    </row>
    <row r="68" spans="4:38" ht="15.75" customHeight="1">
      <c r="D68" s="155"/>
      <c r="K68" s="159"/>
      <c r="L68" s="2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1"/>
      <c r="AA68" s="31"/>
      <c r="AB68" s="31"/>
      <c r="AC68" s="31"/>
      <c r="AD68" s="32" t="b">
        <v>0</v>
      </c>
      <c r="AE68" s="31"/>
      <c r="AF68" s="31"/>
      <c r="AH68" s="37"/>
      <c r="AI68" s="37"/>
      <c r="AJ68" s="37"/>
      <c r="AK68" s="37"/>
      <c r="AL68" s="37"/>
    </row>
    <row r="69" spans="3:38" ht="15.75" customHeight="1">
      <c r="C69" s="160"/>
      <c r="D69" s="155"/>
      <c r="F69" s="161"/>
      <c r="G69" s="162"/>
      <c r="K69" s="159"/>
      <c r="L69" s="2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1"/>
      <c r="AA69" s="31"/>
      <c r="AB69" s="31"/>
      <c r="AC69" s="31"/>
      <c r="AD69" s="32"/>
      <c r="AE69" s="31"/>
      <c r="AF69" s="31"/>
      <c r="AH69" s="37"/>
      <c r="AI69" s="37"/>
      <c r="AJ69" s="37"/>
      <c r="AK69" s="37"/>
      <c r="AL69" s="37"/>
    </row>
    <row r="70" spans="4:38" ht="15.75" customHeight="1">
      <c r="D70" s="155"/>
      <c r="F70" s="161"/>
      <c r="G70" s="162"/>
      <c r="K70" s="159"/>
      <c r="L70" s="2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  <c r="AA70" s="31"/>
      <c r="AB70" s="31"/>
      <c r="AC70" s="31"/>
      <c r="AD70" s="32"/>
      <c r="AE70" s="31"/>
      <c r="AF70" s="31"/>
      <c r="AH70" s="37"/>
      <c r="AI70" s="37"/>
      <c r="AJ70" s="37"/>
      <c r="AK70" s="37"/>
      <c r="AL70" s="37"/>
    </row>
    <row r="71" spans="4:38" ht="15.75" customHeight="1">
      <c r="D71" s="155"/>
      <c r="K71" s="20"/>
      <c r="L71" s="2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1"/>
      <c r="AA71" s="31"/>
      <c r="AB71" s="31"/>
      <c r="AC71" s="31"/>
      <c r="AD71" s="32"/>
      <c r="AE71" s="31"/>
      <c r="AF71" s="31"/>
      <c r="AH71" s="37"/>
      <c r="AI71" s="37"/>
      <c r="AJ71" s="37"/>
      <c r="AK71" s="37"/>
      <c r="AL71" s="37"/>
    </row>
    <row r="72" spans="4:38" ht="15.75" customHeight="1">
      <c r="D72" s="155"/>
      <c r="K72" s="20"/>
      <c r="L72" s="2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1"/>
      <c r="AA72" s="31"/>
      <c r="AB72" s="31"/>
      <c r="AC72" s="31"/>
      <c r="AD72" s="32" t="b">
        <v>1</v>
      </c>
      <c r="AE72" s="31"/>
      <c r="AF72" s="31"/>
      <c r="AH72" s="37"/>
      <c r="AI72" s="37"/>
      <c r="AJ72" s="37"/>
      <c r="AK72" s="37"/>
      <c r="AL72" s="37"/>
    </row>
    <row r="73" spans="3:38" ht="15.75" customHeight="1">
      <c r="C73" s="154"/>
      <c r="D73" s="155"/>
      <c r="E73" s="156"/>
      <c r="F73" s="161"/>
      <c r="G73" s="162"/>
      <c r="K73" s="20"/>
      <c r="L73" s="2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/>
      <c r="AA73" s="31"/>
      <c r="AB73" s="31"/>
      <c r="AC73" s="31"/>
      <c r="AD73" s="32" t="b">
        <v>1</v>
      </c>
      <c r="AE73" s="31"/>
      <c r="AF73" s="31"/>
      <c r="AH73" s="37"/>
      <c r="AI73" s="37"/>
      <c r="AJ73" s="37"/>
      <c r="AK73" s="37"/>
      <c r="AL73" s="37"/>
    </row>
    <row r="74" spans="4:38" ht="15.75" customHeight="1">
      <c r="D74" s="155"/>
      <c r="E74" s="156"/>
      <c r="F74" s="161"/>
      <c r="G74" s="162"/>
      <c r="K74" s="20"/>
      <c r="L74" s="2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1"/>
      <c r="AA74" s="31"/>
      <c r="AB74" s="31"/>
      <c r="AC74" s="31"/>
      <c r="AD74" s="32"/>
      <c r="AE74" s="31"/>
      <c r="AF74" s="31"/>
      <c r="AH74" s="37"/>
      <c r="AI74" s="37"/>
      <c r="AJ74" s="37"/>
      <c r="AK74" s="37"/>
      <c r="AL74" s="37"/>
    </row>
    <row r="75" spans="11:38" ht="15.75" customHeight="1">
      <c r="K75" s="20"/>
      <c r="L75" s="2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1"/>
      <c r="AA75" s="31"/>
      <c r="AB75" s="31"/>
      <c r="AC75" s="31"/>
      <c r="AD75" s="32"/>
      <c r="AE75" s="31"/>
      <c r="AF75" s="31"/>
      <c r="AH75" s="37"/>
      <c r="AI75" s="37"/>
      <c r="AJ75" s="37"/>
      <c r="AK75" s="37"/>
      <c r="AL75" s="37"/>
    </row>
    <row r="76" spans="11:38" ht="15.75" customHeight="1">
      <c r="K76" s="20"/>
      <c r="L76" s="2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1"/>
      <c r="AA76" s="31"/>
      <c r="AB76" s="31"/>
      <c r="AC76" s="31"/>
      <c r="AD76" s="32"/>
      <c r="AE76" s="31"/>
      <c r="AF76" s="31"/>
      <c r="AH76" s="37"/>
      <c r="AI76" s="37"/>
      <c r="AJ76" s="37"/>
      <c r="AK76" s="37"/>
      <c r="AL76" s="37"/>
    </row>
    <row r="77" spans="11:38" ht="15.75" customHeight="1">
      <c r="K77" s="20"/>
      <c r="L77" s="2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/>
      <c r="AA77" s="31"/>
      <c r="AB77" s="31"/>
      <c r="AC77" s="31"/>
      <c r="AD77" s="32"/>
      <c r="AE77" s="31"/>
      <c r="AF77" s="31"/>
      <c r="AH77" s="37"/>
      <c r="AI77" s="37"/>
      <c r="AJ77" s="37"/>
      <c r="AK77" s="37"/>
      <c r="AL77" s="37"/>
    </row>
    <row r="78" spans="11:32" ht="15.75" customHeight="1">
      <c r="K78" s="20"/>
      <c r="L78" s="2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/>
      <c r="AA78" s="31"/>
      <c r="AB78" s="31"/>
      <c r="AC78" s="31"/>
      <c r="AD78" s="32"/>
      <c r="AE78" s="31"/>
      <c r="AF78" s="31"/>
    </row>
    <row r="79" spans="11:12" ht="15.75" customHeight="1">
      <c r="K79" s="20"/>
      <c r="L79" s="20"/>
    </row>
    <row r="80" spans="11:12" ht="15.75" customHeight="1">
      <c r="K80" s="20"/>
      <c r="L80" s="20"/>
    </row>
    <row r="81" spans="11:12" ht="15.75" customHeight="1">
      <c r="K81" s="20"/>
      <c r="L81" s="20"/>
    </row>
    <row r="82" spans="11:12" ht="15.75" customHeight="1">
      <c r="K82" s="20"/>
      <c r="L82" s="20"/>
    </row>
    <row r="83" spans="11:12" ht="15.75" customHeight="1">
      <c r="K83" s="20"/>
      <c r="L83" s="20"/>
    </row>
    <row r="84" spans="11:12" ht="15.75" customHeight="1">
      <c r="K84" s="20"/>
      <c r="L84" s="20"/>
    </row>
    <row r="85" spans="11:12" ht="15.75" customHeight="1">
      <c r="K85" s="20"/>
      <c r="L85" s="20"/>
    </row>
    <row r="86" spans="11:12" ht="15.75" customHeight="1">
      <c r="K86" s="20"/>
      <c r="L86" s="20"/>
    </row>
    <row r="87" spans="11:12" ht="15.75" customHeight="1">
      <c r="K87" s="20"/>
      <c r="L87" s="20"/>
    </row>
    <row r="88" spans="11:12" ht="13.5">
      <c r="K88" s="20"/>
      <c r="L88" s="20"/>
    </row>
    <row r="89" spans="11:12" ht="13.5">
      <c r="K89" s="20"/>
      <c r="L89" s="20"/>
    </row>
    <row r="90" spans="11:12" ht="13.5">
      <c r="K90" s="20"/>
      <c r="L90" s="20"/>
    </row>
    <row r="91" spans="11:12" ht="13.5">
      <c r="K91" s="20"/>
      <c r="L91" s="20"/>
    </row>
    <row r="92" spans="11:12" ht="13.5">
      <c r="K92" s="20"/>
      <c r="L92" s="20"/>
    </row>
    <row r="93" spans="11:12" ht="13.5">
      <c r="K93" s="20"/>
      <c r="L93" s="20"/>
    </row>
    <row r="94" spans="11:12" ht="13.5">
      <c r="K94" s="20"/>
      <c r="L94" s="20"/>
    </row>
    <row r="95" spans="11:12" ht="13.5">
      <c r="K95" s="20"/>
      <c r="L95" s="20"/>
    </row>
    <row r="96" spans="11:12" ht="13.5">
      <c r="K96" s="20"/>
      <c r="L96" s="20"/>
    </row>
    <row r="97" spans="11:12" ht="13.5">
      <c r="K97" s="20"/>
      <c r="L97" s="20"/>
    </row>
    <row r="98" spans="11:12" ht="13.5">
      <c r="K98" s="20"/>
      <c r="L98" s="20"/>
    </row>
  </sheetData>
  <sheetProtection/>
  <mergeCells count="59">
    <mergeCell ref="Q39:R40"/>
    <mergeCell ref="B59:C59"/>
    <mergeCell ref="B63:D63"/>
    <mergeCell ref="P51:P52"/>
    <mergeCell ref="Q51:Q52"/>
    <mergeCell ref="E58:F58"/>
    <mergeCell ref="I51:J51"/>
    <mergeCell ref="O51:O52"/>
    <mergeCell ref="B54:C54"/>
    <mergeCell ref="E63:F63"/>
    <mergeCell ref="E64:F64"/>
    <mergeCell ref="E65:F65"/>
    <mergeCell ref="R51:R52"/>
    <mergeCell ref="M51:M52"/>
    <mergeCell ref="N51:N52"/>
    <mergeCell ref="I59:J59"/>
    <mergeCell ref="M37:O37"/>
    <mergeCell ref="M38:M39"/>
    <mergeCell ref="B30:C30"/>
    <mergeCell ref="M42:M43"/>
    <mergeCell ref="M32:N32"/>
    <mergeCell ref="B35:C35"/>
    <mergeCell ref="M40:M41"/>
    <mergeCell ref="B38:C38"/>
    <mergeCell ref="B32:C32"/>
    <mergeCell ref="B33:C33"/>
    <mergeCell ref="B40:C40"/>
    <mergeCell ref="I44:J44"/>
    <mergeCell ref="B52:C52"/>
    <mergeCell ref="B45:C45"/>
    <mergeCell ref="B47:C47"/>
    <mergeCell ref="B49:C49"/>
    <mergeCell ref="B44:C44"/>
    <mergeCell ref="B29:C29"/>
    <mergeCell ref="B18:C18"/>
    <mergeCell ref="B17:C17"/>
    <mergeCell ref="B15:C15"/>
    <mergeCell ref="B64:C64"/>
    <mergeCell ref="B50:C50"/>
    <mergeCell ref="B51:C51"/>
    <mergeCell ref="B36:C36"/>
    <mergeCell ref="B53:C53"/>
    <mergeCell ref="B58:D58"/>
    <mergeCell ref="M9:N9"/>
    <mergeCell ref="M12:O14"/>
    <mergeCell ref="I12:J12"/>
    <mergeCell ref="I17:J17"/>
    <mergeCell ref="M28:N29"/>
    <mergeCell ref="I22:J22"/>
    <mergeCell ref="I28:J28"/>
    <mergeCell ref="B19:C19"/>
    <mergeCell ref="B26:C26"/>
    <mergeCell ref="B20:C20"/>
    <mergeCell ref="B12:C12"/>
    <mergeCell ref="B13:C13"/>
    <mergeCell ref="B14:C14"/>
    <mergeCell ref="B24:C24"/>
    <mergeCell ref="B25:C25"/>
    <mergeCell ref="B22:C22"/>
  </mergeCells>
  <conditionalFormatting sqref="N15 N31 P32:P33 M33:O35 J23:J26">
    <cfRule type="cellIs" priority="1" dxfId="0" operator="equal" stopIfTrue="1">
      <formula>$D$33</formula>
    </cfRule>
  </conditionalFormatting>
  <conditionalFormatting sqref="M15:M19">
    <cfRule type="cellIs" priority="2" dxfId="0" operator="equal" stopIfTrue="1">
      <formula>#REF!</formula>
    </cfRule>
  </conditionalFormatting>
  <conditionalFormatting sqref="J13:J15">
    <cfRule type="cellIs" priority="3" dxfId="0" operator="equal" stopIfTrue="1">
      <formula>$D$25</formula>
    </cfRule>
  </conditionalFormatting>
  <conditionalFormatting sqref="J18:J20">
    <cfRule type="cellIs" priority="4" dxfId="0" operator="equal" stopIfTrue="1">
      <formula>$D$29</formula>
    </cfRule>
  </conditionalFormatting>
  <conditionalFormatting sqref="C60">
    <cfRule type="expression" priority="5" dxfId="0" stopIfTrue="1">
      <formula>$G$60&gt;0</formula>
    </cfRule>
  </conditionalFormatting>
  <conditionalFormatting sqref="C61">
    <cfRule type="expression" priority="6" dxfId="0" stopIfTrue="1">
      <formula>$G$61&gt;0</formula>
    </cfRule>
  </conditionalFormatting>
  <conditionalFormatting sqref="J30">
    <cfRule type="expression" priority="7" dxfId="0" stopIfTrue="1">
      <formula>$D$29=25</formula>
    </cfRule>
  </conditionalFormatting>
  <conditionalFormatting sqref="J31">
    <cfRule type="expression" priority="8" dxfId="0" stopIfTrue="1">
      <formula>$D$29=50</formula>
    </cfRule>
  </conditionalFormatting>
  <conditionalFormatting sqref="J32">
    <cfRule type="expression" priority="9" dxfId="0" stopIfTrue="1">
      <formula>$D$29=75</formula>
    </cfRule>
  </conditionalFormatting>
  <conditionalFormatting sqref="J45:J46">
    <cfRule type="cellIs" priority="10" dxfId="0" operator="equal" stopIfTrue="1">
      <formula>$D$45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T40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4"/>
    </row>
    <row r="2" s="1" customFormat="1" ht="12.75">
      <c r="A2" s="4"/>
    </row>
    <row r="3" s="1" customFormat="1" ht="12.75">
      <c r="A3" s="4"/>
    </row>
    <row r="4" s="1" customFormat="1" ht="12.75">
      <c r="A4" s="4"/>
    </row>
    <row r="5" s="1" customFormat="1" ht="12.75">
      <c r="A5" s="4"/>
    </row>
    <row r="6" s="1" customFormat="1" ht="12.75">
      <c r="A6" s="4"/>
    </row>
    <row r="7" s="1" customFormat="1" ht="12.75">
      <c r="A7" s="5"/>
    </row>
    <row r="8" s="1" customFormat="1" ht="12.75">
      <c r="A8" s="5"/>
    </row>
    <row r="9" spans="1:20" ht="12.75">
      <c r="A9" s="6" t="s">
        <v>114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7" t="s">
        <v>115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7" t="s">
        <v>123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8.5" customHeight="1">
      <c r="A13" s="7" t="s">
        <v>140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8.5" customHeight="1">
      <c r="A14" s="7" t="s">
        <v>124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7" t="s">
        <v>138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8.5" customHeight="1">
      <c r="A16" s="7" t="s">
        <v>125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8.5" customHeight="1">
      <c r="A17" s="7" t="s">
        <v>126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3.25" customHeight="1">
      <c r="A18" s="7" t="s">
        <v>127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8.5" customHeight="1">
      <c r="A19" s="7" t="s">
        <v>128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6.75" customHeight="1">
      <c r="A20" s="7" t="s">
        <v>141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8.5" customHeight="1">
      <c r="A21" s="7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8.5" customHeight="1">
      <c r="A22" s="7" t="s">
        <v>130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7" t="s">
        <v>116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7" t="s">
        <v>142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8.5" customHeight="1">
      <c r="A26" s="7" t="s">
        <v>131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7" t="s">
        <v>139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7" t="s">
        <v>132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7" t="s">
        <v>133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8" t="s">
        <v>143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7" t="s">
        <v>134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7" t="s">
        <v>135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7" t="s">
        <v>136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8.5" customHeight="1">
      <c r="A34" s="7" t="s">
        <v>137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8.5" customHeight="1">
      <c r="A35" s="7" t="s">
        <v>117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2008-09-10T13:38:09Z</cp:lastPrinted>
  <dcterms:created xsi:type="dcterms:W3CDTF">2006-04-10T08:55:06Z</dcterms:created>
  <dcterms:modified xsi:type="dcterms:W3CDTF">2014-06-27T08:04:03Z</dcterms:modified>
  <cp:category/>
  <cp:version/>
  <cp:contentType/>
  <cp:contentStatus/>
</cp:coreProperties>
</file>