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524" windowWidth="15480" windowHeight="11016" activeTab="0"/>
  </bookViews>
  <sheets>
    <sheet name="Segad. y Acond." sheetId="1" r:id="rId1"/>
    <sheet name="Metodología" sheetId="2" r:id="rId2"/>
  </sheets>
  <definedNames>
    <definedName name="_xlnm.Print_Area" localSheetId="1">'Metodología'!$A$1:$A$32</definedName>
    <definedName name="_xlnm.Print_Area" localSheetId="0">'Segad. y Acond.'!$A$1:$K$69</definedName>
  </definedNames>
  <calcPr fullCalcOnLoad="1"/>
</workbook>
</file>

<file path=xl/sharedStrings.xml><?xml version="1.0" encoding="utf-8"?>
<sst xmlns="http://schemas.openxmlformats.org/spreadsheetml/2006/main" count="179" uniqueCount="137">
  <si>
    <t>OPERACIÓN:</t>
  </si>
  <si>
    <t>AUXILIAR</t>
  </si>
  <si>
    <t xml:space="preserve">APERO: </t>
  </si>
  <si>
    <t>Anchura de trabajo</t>
  </si>
  <si>
    <t>m</t>
  </si>
  <si>
    <t>Anchura de trabajo (m)</t>
  </si>
  <si>
    <t>ASAE mower disk</t>
  </si>
  <si>
    <t>Pot (kW/m)</t>
  </si>
  <si>
    <t>v(km/h)</t>
  </si>
  <si>
    <t>P (kW)</t>
  </si>
  <si>
    <t>Velocidad de trabajo</t>
  </si>
  <si>
    <t>km/h</t>
  </si>
  <si>
    <t>Baja</t>
  </si>
  <si>
    <t>Peso apero</t>
  </si>
  <si>
    <t>kg</t>
  </si>
  <si>
    <t>kg/m</t>
  </si>
  <si>
    <t>Alta</t>
  </si>
  <si>
    <t>CEMAG faucheuse rotative</t>
  </si>
  <si>
    <t>a (m)</t>
  </si>
  <si>
    <t>Pot (kW)</t>
  </si>
  <si>
    <t>Potencia a la tdf (ASAE)</t>
  </si>
  <si>
    <t>kW/m</t>
  </si>
  <si>
    <t>Eficiencia de trabajo</t>
  </si>
  <si>
    <t>kW</t>
  </si>
  <si>
    <t>CV</t>
  </si>
  <si>
    <t>Media</t>
  </si>
  <si>
    <t>RESULTADOS MAPA</t>
  </si>
  <si>
    <t>Pot a la barra i/rod+desliz</t>
  </si>
  <si>
    <t>consumos</t>
  </si>
  <si>
    <t>cap.trab. alta</t>
  </si>
  <si>
    <t>6 L/ha</t>
  </si>
  <si>
    <t>Capacidad trabajo teórica</t>
  </si>
  <si>
    <t>h/ha</t>
  </si>
  <si>
    <t>Nivel de carga de trabajo (%)</t>
  </si>
  <si>
    <t>cap.trab. normal</t>
  </si>
  <si>
    <t>7,5 L/ha</t>
  </si>
  <si>
    <t>Eficiencia</t>
  </si>
  <si>
    <t>Bajo</t>
  </si>
  <si>
    <t>Capacidad trabajo real</t>
  </si>
  <si>
    <t>Medio</t>
  </si>
  <si>
    <t>ha/h</t>
  </si>
  <si>
    <t>Alto</t>
  </si>
  <si>
    <t>Hipótesis tractor auxiliar</t>
  </si>
  <si>
    <t>Potencia tractor escogido</t>
  </si>
  <si>
    <t>Nivel de carga del tractor</t>
  </si>
  <si>
    <t>%</t>
  </si>
  <si>
    <t>Nivel potencia tractor (CV)</t>
  </si>
  <si>
    <t>Costes horarios tractor auxiliar  (€/h)</t>
  </si>
  <si>
    <t>Potencia tractor necesaria</t>
  </si>
  <si>
    <t>Pequeño</t>
  </si>
  <si>
    <t>Precio adquis.</t>
  </si>
  <si>
    <t>€/kW</t>
  </si>
  <si>
    <t>Mediano</t>
  </si>
  <si>
    <t>€</t>
  </si>
  <si>
    <t>h/año</t>
  </si>
  <si>
    <t>€/h s/comb.</t>
  </si>
  <si>
    <t>Tipo de tractor escogido</t>
  </si>
  <si>
    <t>Grande</t>
  </si>
  <si>
    <t>Amortización</t>
  </si>
  <si>
    <t>horas</t>
  </si>
  <si>
    <t>Muy grande</t>
  </si>
  <si>
    <t>años</t>
  </si>
  <si>
    <t>Tasa interés</t>
  </si>
  <si>
    <t>COSTES DE UTILIZACIÓN</t>
  </si>
  <si>
    <t>Consumo combustible</t>
  </si>
  <si>
    <t>Seguros</t>
  </si>
  <si>
    <t>Consumo de combustible</t>
  </si>
  <si>
    <t>L/h</t>
  </si>
  <si>
    <t>Carga</t>
  </si>
  <si>
    <t>Factor (L/h-kW)</t>
  </si>
  <si>
    <t>Resguardo</t>
  </si>
  <si>
    <t>L/ha</t>
  </si>
  <si>
    <t>Mant.-Reparac</t>
  </si>
  <si>
    <t>€/L</t>
  </si>
  <si>
    <t>Consumo de aceite</t>
  </si>
  <si>
    <t>Cons.carga media</t>
  </si>
  <si>
    <t>L/h-kW</t>
  </si>
  <si>
    <t>Coste gasóleo</t>
  </si>
  <si>
    <t>Coste combustible</t>
  </si>
  <si>
    <t>€/h</t>
  </si>
  <si>
    <t>pot tractor CV</t>
  </si>
  <si>
    <t>nivel carga %</t>
  </si>
  <si>
    <t>pot utilizada</t>
  </si>
  <si>
    <t>P barra i/rod+desliz</t>
  </si>
  <si>
    <t>pot req. (kW/m)</t>
  </si>
  <si>
    <t>anchura max (m)</t>
  </si>
  <si>
    <t>€/ha</t>
  </si>
  <si>
    <t>Utilización apero (h/año)</t>
  </si>
  <si>
    <t>COSTES DE POSESIÓN</t>
  </si>
  <si>
    <t>Horas trabajo anuales</t>
  </si>
  <si>
    <t>Precio adquisición</t>
  </si>
  <si>
    <t>amort. - desgaste</t>
  </si>
  <si>
    <t>h</t>
  </si>
  <si>
    <t>amort. - obsolescencia</t>
  </si>
  <si>
    <t>interés</t>
  </si>
  <si>
    <t>seguros</t>
  </si>
  <si>
    <t>% PA</t>
  </si>
  <si>
    <t>resguardo</t>
  </si>
  <si>
    <t>mantenim-reparaciones</t>
  </si>
  <si>
    <t>Coste total</t>
  </si>
  <si>
    <t>Tractor auxiliar</t>
  </si>
  <si>
    <t>Poses. + tract.</t>
  </si>
  <si>
    <t>Utilización anual</t>
  </si>
  <si>
    <t>€/h s/comb</t>
  </si>
  <si>
    <t>Baja (500 h/año)</t>
  </si>
  <si>
    <t>Alta (1.000 h/año)</t>
  </si>
  <si>
    <t>Tractor + Apero</t>
  </si>
  <si>
    <t>ha/año</t>
  </si>
  <si>
    <t>Segadora - acondicionadora (disco y tambores)</t>
  </si>
  <si>
    <t>€/m</t>
  </si>
  <si>
    <t xml:space="preserve">s / n  </t>
  </si>
  <si>
    <t>Siega - acondicionado</t>
  </si>
  <si>
    <t>Acondicionador (+40%)</t>
  </si>
  <si>
    <t>Los datos de partida de esta operación son los siguientes:</t>
  </si>
  <si>
    <t>Las hipótesis establecidas para el cálculo de los costes son las siguientes:</t>
  </si>
  <si>
    <t>Siega con segadora de discos o de tambores (con y sin acondicionado)</t>
  </si>
  <si>
    <t>Precio adquisición tractor</t>
  </si>
  <si>
    <t xml:space="preserve"> €/kW de potencia</t>
  </si>
  <si>
    <t>-          Velocidad de trabajo: Es un valor tomado de las velocidades recomendadas de trabajo</t>
  </si>
  <si>
    <t xml:space="preserve">-          Peso del apero: Estimado en 400 kg/m </t>
  </si>
  <si>
    <t>-          Eficiencia de la operación: Baja, media o alta (se recomienda escoger alta para esta operación puesto que es la situación más habitual)</t>
  </si>
  <si>
    <t>-          Potencia a la tdf: Es un valor tomado de los valores recomendados por ASAE. La utilización de acondicionador aumenta la potencia en el 40%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</si>
  <si>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</si>
  <si>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</si>
  <si>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Horas de trabajo anuales: Se han estimado dos rangos diferentes de utilización del apero al año, baja (100 h/año) y alta (200 h/año)</t>
  </si>
  <si>
    <t xml:space="preserve">-          Amortización por desgaste: 1.000 h 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</si>
  <si>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</si>
  <si>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</si>
  <si>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</si>
  <si>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Utilización anual tractor auxiliar: Se han estimado dos rangos diferentes de trabajo, 500 y 1.000 h/año.</t>
  </si>
  <si>
    <t>-          Utilización anual apero: En función de las horas de trabajo anuales elegidas y de la capacidad de trabajo se obtiene la superficie anual trabajada por el apero en ha/año.</t>
  </si>
  <si>
    <t>-          Coste de combustible: 1,00 €/L</t>
  </si>
  <si>
    <t>-          Precio de adquisición: Estimado en 4.000 €/m</t>
  </si>
  <si>
    <t>-          Mantenimiento y reparaciones: 7,0 €/ha</t>
  </si>
  <si>
    <t>-          Nivel de carga del tractor: Bajo, medio o alto (se recomienda poner un nivel medio para esta operación)</t>
  </si>
  <si>
    <t>-          Anchura de trabajo del apero: Alta (6 m) y baja (3 m)</t>
  </si>
  <si>
    <t>-          Interés: 5 %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</si>
</sst>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  <numFmt numFmtId="174" formatCode="#,##0.000"/>
    <numFmt numFmtId="175" formatCode="#,##0.0000"/>
    <numFmt numFmtId="176" formatCode="#,##0.00000"/>
    <numFmt numFmtId="177" formatCode="#,##0.00_ ;\-#,##0.00\ "/>
    <numFmt numFmtId="178" formatCode="_-* #,##0.0\ _€_-;\-* #,##0.0\ _€_-;_-* &quot;-&quot;??\ _€_-;_-@_-"/>
    <numFmt numFmtId="179" formatCode="_-* #,##0\ _€_-;\-* #,##0\ _€_-;_-* &quot;-&quot;??\ _€_-;_-@_-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12"/>
      <name val="Arial"/>
      <family val="2"/>
    </font>
    <font>
      <sz val="11"/>
      <color indexed="9"/>
      <name val="Times New Roman"/>
      <family val="1"/>
    </font>
    <font>
      <b/>
      <sz val="11"/>
      <color indexed="2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b/>
      <sz val="11"/>
      <color indexed="4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justify"/>
    </xf>
    <xf numFmtId="49" fontId="5" fillId="34" borderId="0" xfId="0" applyNumberFormat="1" applyFont="1" applyFill="1" applyAlignment="1">
      <alignment horizontal="justify" vertical="justify" wrapText="1"/>
    </xf>
    <xf numFmtId="49" fontId="4" fillId="34" borderId="0" xfId="0" applyNumberFormat="1" applyFont="1" applyFill="1" applyAlignment="1">
      <alignment horizontal="justify" vertical="justify" wrapText="1"/>
    </xf>
    <xf numFmtId="49" fontId="4" fillId="34" borderId="0" xfId="0" applyNumberFormat="1" applyFont="1" applyFill="1" applyAlignment="1">
      <alignment horizontal="justify"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/>
      <protection locked="0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33" borderId="11" xfId="0" applyNumberFormat="1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/>
      <protection hidden="1"/>
    </xf>
    <xf numFmtId="0" fontId="9" fillId="33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12" fillId="0" borderId="15" xfId="0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4" fillId="33" borderId="14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 locked="0"/>
    </xf>
    <xf numFmtId="1" fontId="7" fillId="33" borderId="0" xfId="0" applyNumberFormat="1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>
      <alignment/>
    </xf>
    <xf numFmtId="0" fontId="16" fillId="33" borderId="0" xfId="0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horizontal="center"/>
    </xf>
    <xf numFmtId="0" fontId="17" fillId="34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>
      <alignment horizontal="center"/>
    </xf>
    <xf numFmtId="2" fontId="20" fillId="33" borderId="0" xfId="0" applyNumberFormat="1" applyFont="1" applyFill="1" applyBorder="1" applyAlignment="1" applyProtection="1">
      <alignment horizontal="center"/>
      <protection hidden="1"/>
    </xf>
    <xf numFmtId="0" fontId="19" fillId="33" borderId="14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/>
      <protection hidden="1"/>
    </xf>
    <xf numFmtId="0" fontId="7" fillId="35" borderId="14" xfId="0" applyFont="1" applyFill="1" applyBorder="1" applyAlignment="1">
      <alignment horizontal="center"/>
    </xf>
    <xf numFmtId="165" fontId="7" fillId="0" borderId="15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165" fontId="7" fillId="33" borderId="0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2" fontId="12" fillId="33" borderId="0" xfId="0" applyNumberFormat="1" applyFont="1" applyFill="1" applyBorder="1" applyAlignment="1" applyProtection="1">
      <alignment horizontal="center"/>
      <protection hidden="1" locked="0"/>
    </xf>
    <xf numFmtId="0" fontId="19" fillId="33" borderId="16" xfId="0" applyFont="1" applyFill="1" applyBorder="1" applyAlignment="1">
      <alignment horizontal="left"/>
    </xf>
    <xf numFmtId="0" fontId="19" fillId="33" borderId="17" xfId="0" applyFont="1" applyFill="1" applyBorder="1" applyAlignment="1">
      <alignment horizontal="left"/>
    </xf>
    <xf numFmtId="164" fontId="20" fillId="33" borderId="17" xfId="0" applyNumberFormat="1" applyFont="1" applyFill="1" applyBorder="1" applyAlignment="1" applyProtection="1">
      <alignment horizontal="center"/>
      <protection hidden="1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20" xfId="0" applyFont="1" applyFill="1" applyBorder="1" applyAlignment="1">
      <alignment horizontal="left"/>
    </xf>
    <xf numFmtId="164" fontId="20" fillId="33" borderId="20" xfId="0" applyNumberFormat="1" applyFont="1" applyFill="1" applyBorder="1" applyAlignment="1" applyProtection="1">
      <alignment horizontal="center"/>
      <protection hidden="1"/>
    </xf>
    <xf numFmtId="0" fontId="19" fillId="33" borderId="21" xfId="0" applyFont="1" applyFill="1" applyBorder="1" applyAlignment="1">
      <alignment horizontal="center"/>
    </xf>
    <xf numFmtId="0" fontId="7" fillId="35" borderId="11" xfId="0" applyFont="1" applyFill="1" applyBorder="1" applyAlignment="1" applyProtection="1">
      <alignment horizontal="center"/>
      <protection hidden="1"/>
    </xf>
    <xf numFmtId="0" fontId="7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3" fontId="12" fillId="0" borderId="15" xfId="0" applyNumberFormat="1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/>
      <protection locked="0"/>
    </xf>
    <xf numFmtId="165" fontId="7" fillId="34" borderId="14" xfId="0" applyNumberFormat="1" applyFont="1" applyFill="1" applyBorder="1" applyAlignment="1" applyProtection="1">
      <alignment horizontal="center"/>
      <protection/>
    </xf>
    <xf numFmtId="3" fontId="12" fillId="33" borderId="0" xfId="0" applyNumberFormat="1" applyFont="1" applyFill="1" applyBorder="1" applyAlignment="1" applyProtection="1">
      <alignment horizontal="center"/>
      <protection hidden="1" locked="0"/>
    </xf>
    <xf numFmtId="0" fontId="9" fillId="33" borderId="14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 hidden="1" locked="0"/>
    </xf>
    <xf numFmtId="0" fontId="9" fillId="0" borderId="15" xfId="0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3" fontId="7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2" fontId="7" fillId="33" borderId="17" xfId="0" applyNumberFormat="1" applyFont="1" applyFill="1" applyBorder="1" applyAlignment="1" applyProtection="1">
      <alignment horizontal="center"/>
      <protection hidden="1"/>
    </xf>
    <xf numFmtId="0" fontId="9" fillId="33" borderId="18" xfId="0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center"/>
    </xf>
    <xf numFmtId="2" fontId="19" fillId="33" borderId="20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3" fontId="9" fillId="34" borderId="14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1" fontId="9" fillId="34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15" fillId="34" borderId="0" xfId="0" applyFont="1" applyFill="1" applyBorder="1" applyAlignment="1" applyProtection="1">
      <alignment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6" fillId="0" borderId="15" xfId="0" applyFont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2" fontId="20" fillId="34" borderId="0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horizontal="left"/>
    </xf>
    <xf numFmtId="0" fontId="18" fillId="37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7" fillId="38" borderId="15" xfId="0" applyFont="1" applyFill="1" applyBorder="1" applyAlignment="1">
      <alignment vertical="center"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0" fontId="7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2" fontId="20" fillId="34" borderId="0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8" fillId="37" borderId="22" xfId="0" applyNumberFormat="1" applyFont="1" applyFill="1" applyBorder="1" applyAlignment="1" applyProtection="1">
      <alignment horizontal="center" vertical="center"/>
      <protection hidden="1"/>
    </xf>
    <xf numFmtId="2" fontId="18" fillId="37" borderId="23" xfId="0" applyNumberFormat="1" applyFont="1" applyFill="1" applyBorder="1" applyAlignment="1" applyProtection="1">
      <alignment horizontal="center" vertical="center"/>
      <protection hidden="1"/>
    </xf>
    <xf numFmtId="0" fontId="18" fillId="37" borderId="22" xfId="0" applyFont="1" applyFill="1" applyBorder="1" applyAlignment="1">
      <alignment horizontal="center"/>
    </xf>
    <xf numFmtId="0" fontId="18" fillId="37" borderId="2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0" borderId="15" xfId="0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11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12.emf" /><Relationship Id="rId11" Type="http://schemas.openxmlformats.org/officeDocument/2006/relationships/image" Target="../media/image8.emf" /><Relationship Id="rId12" Type="http://schemas.openxmlformats.org/officeDocument/2006/relationships/image" Target="../media/image3.emf" /><Relationship Id="rId13" Type="http://schemas.openxmlformats.org/officeDocument/2006/relationships/image" Target="../media/image14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Relationship Id="rId16" Type="http://schemas.openxmlformats.org/officeDocument/2006/relationships/image" Target="../media/image10.emf" /><Relationship Id="rId17" Type="http://schemas.openxmlformats.org/officeDocument/2006/relationships/image" Target="../media/image17.emf" /><Relationship Id="rId18" Type="http://schemas.openxmlformats.org/officeDocument/2006/relationships/image" Target="../media/image15.emf" /><Relationship Id="rId19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8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29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17</xdr:row>
      <xdr:rowOff>19050</xdr:rowOff>
    </xdr:from>
    <xdr:to>
      <xdr:col>7</xdr:col>
      <xdr:colOff>228600</xdr:colOff>
      <xdr:row>18</xdr:row>
      <xdr:rowOff>9525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7336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18</xdr:row>
      <xdr:rowOff>19050</xdr:rowOff>
    </xdr:from>
    <xdr:to>
      <xdr:col>7</xdr:col>
      <xdr:colOff>228600</xdr:colOff>
      <xdr:row>19</xdr:row>
      <xdr:rowOff>0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29051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19</xdr:row>
      <xdr:rowOff>19050</xdr:rowOff>
    </xdr:from>
    <xdr:to>
      <xdr:col>7</xdr:col>
      <xdr:colOff>228600</xdr:colOff>
      <xdr:row>20</xdr:row>
      <xdr:rowOff>9525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3076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22</xdr:row>
      <xdr:rowOff>19050</xdr:rowOff>
    </xdr:from>
    <xdr:to>
      <xdr:col>7</xdr:col>
      <xdr:colOff>228600</xdr:colOff>
      <xdr:row>23</xdr:row>
      <xdr:rowOff>0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00575" y="35909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23</xdr:row>
      <xdr:rowOff>9525</xdr:rowOff>
    </xdr:from>
    <xdr:to>
      <xdr:col>7</xdr:col>
      <xdr:colOff>228600</xdr:colOff>
      <xdr:row>23</xdr:row>
      <xdr:rowOff>123825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37528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24</xdr:row>
      <xdr:rowOff>9525</xdr:rowOff>
    </xdr:from>
    <xdr:to>
      <xdr:col>7</xdr:col>
      <xdr:colOff>228600</xdr:colOff>
      <xdr:row>24</xdr:row>
      <xdr:rowOff>123825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39243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13</xdr:row>
      <xdr:rowOff>19050</xdr:rowOff>
    </xdr:from>
    <xdr:to>
      <xdr:col>7</xdr:col>
      <xdr:colOff>238125</xdr:colOff>
      <xdr:row>14</xdr:row>
      <xdr:rowOff>0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00575" y="2047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19050</xdr:rowOff>
    </xdr:from>
    <xdr:to>
      <xdr:col>7</xdr:col>
      <xdr:colOff>219075</xdr:colOff>
      <xdr:row>15</xdr:row>
      <xdr:rowOff>9525</xdr:rowOff>
    </xdr:to>
    <xdr:pic>
      <xdr:nvPicPr>
        <xdr:cNvPr id="9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00575" y="221932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27</xdr:row>
      <xdr:rowOff>19050</xdr:rowOff>
    </xdr:from>
    <xdr:to>
      <xdr:col>7</xdr:col>
      <xdr:colOff>228600</xdr:colOff>
      <xdr:row>28</xdr:row>
      <xdr:rowOff>9525</xdr:rowOff>
    </xdr:to>
    <xdr:pic>
      <xdr:nvPicPr>
        <xdr:cNvPr id="10" name="OptionButton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00575" y="44481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28</xdr:row>
      <xdr:rowOff>28575</xdr:rowOff>
    </xdr:from>
    <xdr:to>
      <xdr:col>7</xdr:col>
      <xdr:colOff>228600</xdr:colOff>
      <xdr:row>29</xdr:row>
      <xdr:rowOff>9525</xdr:rowOff>
    </xdr:to>
    <xdr:pic>
      <xdr:nvPicPr>
        <xdr:cNvPr id="11" name="OptionButton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00575" y="46291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19050</xdr:rowOff>
    </xdr:from>
    <xdr:to>
      <xdr:col>7</xdr:col>
      <xdr:colOff>228600</xdr:colOff>
      <xdr:row>30</xdr:row>
      <xdr:rowOff>9525</xdr:rowOff>
    </xdr:to>
    <xdr:pic>
      <xdr:nvPicPr>
        <xdr:cNvPr id="12" name="OptionButton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00575" y="47910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28575</xdr:rowOff>
    </xdr:from>
    <xdr:to>
      <xdr:col>7</xdr:col>
      <xdr:colOff>228600</xdr:colOff>
      <xdr:row>31</xdr:row>
      <xdr:rowOff>9525</xdr:rowOff>
    </xdr:to>
    <xdr:pic>
      <xdr:nvPicPr>
        <xdr:cNvPr id="13" name="OptionButton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00575" y="4972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57</xdr:row>
      <xdr:rowOff>19050</xdr:rowOff>
    </xdr:from>
    <xdr:to>
      <xdr:col>1</xdr:col>
      <xdr:colOff>257175</xdr:colOff>
      <xdr:row>58</xdr:row>
      <xdr:rowOff>9525</xdr:rowOff>
    </xdr:to>
    <xdr:pic>
      <xdr:nvPicPr>
        <xdr:cNvPr id="14" name="OptionButton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3850" y="95821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58</xdr:row>
      <xdr:rowOff>19050</xdr:rowOff>
    </xdr:from>
    <xdr:to>
      <xdr:col>1</xdr:col>
      <xdr:colOff>247650</xdr:colOff>
      <xdr:row>59</xdr:row>
      <xdr:rowOff>0</xdr:rowOff>
    </xdr:to>
    <xdr:pic>
      <xdr:nvPicPr>
        <xdr:cNvPr id="15" name="OptionButton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97536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41</xdr:row>
      <xdr:rowOff>9525</xdr:rowOff>
    </xdr:from>
    <xdr:to>
      <xdr:col>7</xdr:col>
      <xdr:colOff>238125</xdr:colOff>
      <xdr:row>41</xdr:row>
      <xdr:rowOff>123825</xdr:rowOff>
    </xdr:to>
    <xdr:pic>
      <xdr:nvPicPr>
        <xdr:cNvPr id="16" name="OptionButton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10100" y="6819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42</xdr:row>
      <xdr:rowOff>19050</xdr:rowOff>
    </xdr:from>
    <xdr:to>
      <xdr:col>7</xdr:col>
      <xdr:colOff>238125</xdr:colOff>
      <xdr:row>43</xdr:row>
      <xdr:rowOff>0</xdr:rowOff>
    </xdr:to>
    <xdr:pic>
      <xdr:nvPicPr>
        <xdr:cNvPr id="17" name="OptionButton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10100" y="70008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1152525</xdr:colOff>
      <xdr:row>18</xdr:row>
      <xdr:rowOff>47625</xdr:rowOff>
    </xdr:from>
    <xdr:to>
      <xdr:col>2</xdr:col>
      <xdr:colOff>1295400</xdr:colOff>
      <xdr:row>19</xdr:row>
      <xdr:rowOff>9525</xdr:rowOff>
    </xdr:to>
    <xdr:pic>
      <xdr:nvPicPr>
        <xdr:cNvPr id="18" name="OptionButton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33550" y="2933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1323975</xdr:colOff>
      <xdr:row>18</xdr:row>
      <xdr:rowOff>47625</xdr:rowOff>
    </xdr:from>
    <xdr:to>
      <xdr:col>2</xdr:col>
      <xdr:colOff>1466850</xdr:colOff>
      <xdr:row>19</xdr:row>
      <xdr:rowOff>19050</xdr:rowOff>
    </xdr:to>
    <xdr:pic>
      <xdr:nvPicPr>
        <xdr:cNvPr id="19" name="OptionButton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00" y="2933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6115050</xdr:colOff>
      <xdr:row>5</xdr:row>
      <xdr:rowOff>123825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9:AL78"/>
  <sheetViews>
    <sheetView showZero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.00390625" style="7" customWidth="1"/>
    <col min="2" max="2" width="5.7109375" style="7" customWidth="1"/>
    <col min="3" max="3" width="22.140625" style="7" customWidth="1"/>
    <col min="4" max="4" width="10.28125" style="8" customWidth="1"/>
    <col min="5" max="5" width="10.7109375" style="8" customWidth="1"/>
    <col min="6" max="6" width="8.421875" style="7" customWidth="1"/>
    <col min="7" max="7" width="7.421875" style="9" customWidth="1"/>
    <col min="8" max="8" width="5.57421875" style="7" customWidth="1"/>
    <col min="9" max="9" width="10.28125" style="7" customWidth="1"/>
    <col min="10" max="10" width="19.28125" style="7" customWidth="1"/>
    <col min="11" max="12" width="5.7109375" style="7" customWidth="1"/>
    <col min="13" max="13" width="15.7109375" style="7" customWidth="1"/>
    <col min="14" max="14" width="9.7109375" style="7" customWidth="1"/>
    <col min="15" max="15" width="8.140625" style="7" customWidth="1"/>
    <col min="16" max="16" width="10.421875" style="7" customWidth="1"/>
    <col min="17" max="17" width="7.140625" style="7" customWidth="1"/>
    <col min="18" max="18" width="10.421875" style="7" customWidth="1"/>
    <col min="19" max="19" width="9.57421875" style="7" customWidth="1"/>
    <col min="20" max="20" width="11.57421875" style="7" customWidth="1"/>
    <col min="21" max="25" width="7.140625" style="7" customWidth="1"/>
    <col min="26" max="28" width="11.57421875" style="7" customWidth="1"/>
    <col min="29" max="30" width="11.421875" style="10" customWidth="1"/>
    <col min="31" max="16384" width="11.57421875" style="7" customWidth="1"/>
  </cols>
  <sheetData>
    <row r="1" ht="14.25"/>
    <row r="2" ht="9.75" customHeight="1"/>
    <row r="3" ht="11.25" customHeight="1"/>
    <row r="4" ht="11.25" customHeight="1"/>
    <row r="5" ht="11.25" customHeight="1"/>
    <row r="6" ht="9.75" customHeight="1"/>
    <row r="7" ht="11.25" customHeight="1"/>
    <row r="8" ht="14.25"/>
    <row r="9" spans="1:28" ht="14.25">
      <c r="A9" s="11"/>
      <c r="B9" s="12"/>
      <c r="C9" s="12"/>
      <c r="D9" s="13"/>
      <c r="E9" s="13"/>
      <c r="F9" s="12"/>
      <c r="G9" s="12"/>
      <c r="H9" s="14"/>
      <c r="I9" s="12"/>
      <c r="J9" s="12"/>
      <c r="K9" s="15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2.75" customHeight="1">
      <c r="A10" s="18"/>
      <c r="B10" s="19"/>
      <c r="C10" s="20" t="s">
        <v>0</v>
      </c>
      <c r="D10" s="21" t="s">
        <v>111</v>
      </c>
      <c r="E10" s="22"/>
      <c r="F10" s="23"/>
      <c r="G10" s="23"/>
      <c r="H10" s="24"/>
      <c r="I10" s="19"/>
      <c r="J10" s="19"/>
      <c r="K10" s="25"/>
      <c r="L10" s="16"/>
      <c r="M10" s="155" t="s">
        <v>1</v>
      </c>
      <c r="N10" s="15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2.75" customHeight="1">
      <c r="A11" s="18"/>
      <c r="B11" s="19"/>
      <c r="C11" s="20" t="s">
        <v>2</v>
      </c>
      <c r="D11" s="27" t="s">
        <v>108</v>
      </c>
      <c r="E11" s="28"/>
      <c r="F11" s="28"/>
      <c r="G11" s="29"/>
      <c r="H11" s="19"/>
      <c r="I11" s="19"/>
      <c r="J11" s="19"/>
      <c r="K11" s="30"/>
      <c r="L11" s="16"/>
      <c r="M11" s="3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3.5">
      <c r="A12" s="18"/>
      <c r="B12" s="19"/>
      <c r="C12" s="19"/>
      <c r="D12" s="28"/>
      <c r="E12" s="28"/>
      <c r="F12" s="28"/>
      <c r="G12" s="29"/>
      <c r="H12" s="19"/>
      <c r="I12" s="19"/>
      <c r="J12" s="19"/>
      <c r="K12" s="30"/>
      <c r="L12" s="16"/>
      <c r="M12" s="3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30" ht="13.5">
      <c r="A13" s="18"/>
      <c r="B13" s="177" t="s">
        <v>3</v>
      </c>
      <c r="C13" s="178"/>
      <c r="D13" s="32">
        <f>IF(AC15=TRUE,J14,J15)</f>
        <v>3</v>
      </c>
      <c r="E13" s="33" t="s">
        <v>4</v>
      </c>
      <c r="F13" s="19"/>
      <c r="G13" s="19"/>
      <c r="H13" s="24"/>
      <c r="I13" s="175" t="s">
        <v>5</v>
      </c>
      <c r="J13" s="176"/>
      <c r="K13" s="34"/>
      <c r="L13" s="16"/>
      <c r="M13" s="174" t="s">
        <v>6</v>
      </c>
      <c r="N13" s="35" t="s">
        <v>7</v>
      </c>
      <c r="O13" s="35" t="s">
        <v>8</v>
      </c>
      <c r="P13" s="35" t="s">
        <v>9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D13" s="36"/>
    </row>
    <row r="14" spans="1:28" ht="13.5">
      <c r="A14" s="18"/>
      <c r="B14" s="159" t="s">
        <v>10</v>
      </c>
      <c r="C14" s="160"/>
      <c r="D14" s="37">
        <v>6</v>
      </c>
      <c r="E14" s="38" t="s">
        <v>11</v>
      </c>
      <c r="F14" s="19"/>
      <c r="G14" s="19"/>
      <c r="H14" s="39"/>
      <c r="I14" s="40" t="s">
        <v>12</v>
      </c>
      <c r="J14" s="41">
        <v>3</v>
      </c>
      <c r="K14" s="34"/>
      <c r="L14" s="16"/>
      <c r="M14" s="174"/>
      <c r="N14" s="42">
        <v>5</v>
      </c>
      <c r="O14" s="42">
        <f>D14</f>
        <v>6</v>
      </c>
      <c r="P14" s="43">
        <f>D13*N14</f>
        <v>15</v>
      </c>
      <c r="Q14" s="4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9" ht="13.5">
      <c r="A15" s="18"/>
      <c r="B15" s="159" t="s">
        <v>13</v>
      </c>
      <c r="C15" s="160"/>
      <c r="D15" s="45">
        <f>F15*D13</f>
        <v>1200</v>
      </c>
      <c r="E15" s="38" t="s">
        <v>14</v>
      </c>
      <c r="F15" s="46">
        <v>400</v>
      </c>
      <c r="G15" s="21" t="s">
        <v>15</v>
      </c>
      <c r="H15" s="39"/>
      <c r="I15" s="40" t="s">
        <v>16</v>
      </c>
      <c r="J15" s="41">
        <v>6</v>
      </c>
      <c r="K15" s="34"/>
      <c r="L15" s="16"/>
      <c r="M15" s="17"/>
      <c r="N15" s="47"/>
      <c r="O15" s="47"/>
      <c r="P15" s="4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0" t="b">
        <v>1</v>
      </c>
    </row>
    <row r="16" spans="1:29" ht="13.5">
      <c r="A16" s="18"/>
      <c r="B16" s="179"/>
      <c r="C16" s="180"/>
      <c r="D16" s="48"/>
      <c r="E16" s="49"/>
      <c r="F16" s="50"/>
      <c r="G16" s="50"/>
      <c r="H16" s="24"/>
      <c r="I16" s="19"/>
      <c r="J16" s="51"/>
      <c r="K16" s="34"/>
      <c r="L16" s="16"/>
      <c r="M16" s="174" t="s">
        <v>17</v>
      </c>
      <c r="N16" s="35" t="s">
        <v>8</v>
      </c>
      <c r="O16" s="35" t="s">
        <v>18</v>
      </c>
      <c r="P16" s="35" t="s">
        <v>19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0" t="b">
        <v>0</v>
      </c>
    </row>
    <row r="17" spans="1:30" ht="13.5">
      <c r="A17" s="18"/>
      <c r="B17" s="159" t="s">
        <v>20</v>
      </c>
      <c r="C17" s="160"/>
      <c r="D17" s="52">
        <v>5</v>
      </c>
      <c r="E17" s="38" t="s">
        <v>21</v>
      </c>
      <c r="F17" s="53">
        <f>IF(F18,D17*0.4,0)</f>
        <v>2</v>
      </c>
      <c r="G17" s="50"/>
      <c r="H17" s="24"/>
      <c r="I17" s="175" t="s">
        <v>22</v>
      </c>
      <c r="J17" s="176"/>
      <c r="K17" s="25"/>
      <c r="L17" s="16"/>
      <c r="M17" s="174"/>
      <c r="N17" s="42">
        <v>6</v>
      </c>
      <c r="O17" s="54">
        <v>2.25</v>
      </c>
      <c r="P17" s="42">
        <v>50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D17" s="36"/>
    </row>
    <row r="18" spans="1:28" ht="13.5">
      <c r="A18" s="18"/>
      <c r="B18" s="55"/>
      <c r="C18" s="56" t="s">
        <v>110</v>
      </c>
      <c r="D18" s="52">
        <f>(D13+F17)*D17</f>
        <v>25</v>
      </c>
      <c r="E18" s="38" t="s">
        <v>23</v>
      </c>
      <c r="F18" s="50" t="b">
        <v>1</v>
      </c>
      <c r="G18" s="50"/>
      <c r="H18" s="39"/>
      <c r="I18" s="40" t="s">
        <v>12</v>
      </c>
      <c r="J18" s="57">
        <v>0.6</v>
      </c>
      <c r="K18" s="34"/>
      <c r="L18" s="16"/>
      <c r="M18" s="3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9" ht="13.5">
      <c r="A19" s="18"/>
      <c r="B19" s="168" t="s">
        <v>112</v>
      </c>
      <c r="C19" s="169"/>
      <c r="D19" s="52">
        <f>D18*1.36</f>
        <v>34</v>
      </c>
      <c r="E19" s="38" t="s">
        <v>24</v>
      </c>
      <c r="F19" s="58" t="b">
        <v>0</v>
      </c>
      <c r="G19" s="50"/>
      <c r="H19" s="39"/>
      <c r="I19" s="40" t="s">
        <v>25</v>
      </c>
      <c r="J19" s="57">
        <v>0.7</v>
      </c>
      <c r="K19" s="34"/>
      <c r="L19" s="16"/>
      <c r="M19" s="191" t="s">
        <v>26</v>
      </c>
      <c r="N19" s="191"/>
      <c r="O19" s="31"/>
      <c r="P19" s="31"/>
      <c r="Q19" s="59"/>
      <c r="R19" s="59"/>
      <c r="S19" s="59"/>
      <c r="T19" s="17"/>
      <c r="U19" s="17"/>
      <c r="V19" s="17"/>
      <c r="W19" s="17"/>
      <c r="X19" s="17"/>
      <c r="Y19" s="17"/>
      <c r="Z19" s="17"/>
      <c r="AA19" s="17"/>
      <c r="AB19" s="17"/>
      <c r="AC19" s="10" t="b">
        <v>0</v>
      </c>
    </row>
    <row r="20" spans="1:29" ht="13.5">
      <c r="A20" s="18"/>
      <c r="B20" s="159" t="s">
        <v>27</v>
      </c>
      <c r="C20" s="160"/>
      <c r="D20" s="52">
        <f>D19/0.75</f>
        <v>45.333333333333336</v>
      </c>
      <c r="E20" s="38" t="s">
        <v>24</v>
      </c>
      <c r="F20" s="50"/>
      <c r="G20" s="50"/>
      <c r="H20" s="39"/>
      <c r="I20" s="40" t="s">
        <v>16</v>
      </c>
      <c r="J20" s="57">
        <v>0.8</v>
      </c>
      <c r="K20" s="34"/>
      <c r="L20" s="16"/>
      <c r="M20" s="17"/>
      <c r="N20" s="17" t="s">
        <v>28</v>
      </c>
      <c r="O20" s="31"/>
      <c r="P20" s="31"/>
      <c r="Q20" s="59"/>
      <c r="R20" s="59"/>
      <c r="S20" s="59"/>
      <c r="T20" s="17"/>
      <c r="U20" s="17"/>
      <c r="V20" s="17"/>
      <c r="W20" s="17"/>
      <c r="X20" s="17"/>
      <c r="Y20" s="17"/>
      <c r="Z20" s="17"/>
      <c r="AA20" s="17"/>
      <c r="AB20" s="17"/>
      <c r="AC20" s="10" t="b">
        <v>0</v>
      </c>
    </row>
    <row r="21" spans="1:29" ht="13.5">
      <c r="A21" s="18"/>
      <c r="B21" s="60"/>
      <c r="C21" s="61"/>
      <c r="D21" s="52"/>
      <c r="E21" s="38"/>
      <c r="F21" s="50"/>
      <c r="G21" s="50"/>
      <c r="H21" s="24"/>
      <c r="I21" s="19"/>
      <c r="J21" s="19"/>
      <c r="K21" s="34"/>
      <c r="L21" s="62"/>
      <c r="M21" s="17" t="s">
        <v>29</v>
      </c>
      <c r="N21" s="31" t="s">
        <v>30</v>
      </c>
      <c r="O21" s="31"/>
      <c r="P21" s="17"/>
      <c r="Q21" s="59"/>
      <c r="R21" s="59"/>
      <c r="S21" s="59"/>
      <c r="T21" s="17"/>
      <c r="U21" s="17"/>
      <c r="V21" s="17"/>
      <c r="W21" s="17"/>
      <c r="X21" s="17"/>
      <c r="Y21" s="17"/>
      <c r="Z21" s="17"/>
      <c r="AA21" s="17"/>
      <c r="AB21" s="17"/>
      <c r="AC21" s="10" t="b">
        <v>1</v>
      </c>
    </row>
    <row r="22" spans="1:28" ht="13.5">
      <c r="A22" s="18"/>
      <c r="B22" s="159" t="s">
        <v>31</v>
      </c>
      <c r="C22" s="160"/>
      <c r="D22" s="63">
        <f>10/(D14*D13)</f>
        <v>0.5555555555555556</v>
      </c>
      <c r="E22" s="38" t="s">
        <v>32</v>
      </c>
      <c r="F22" s="50"/>
      <c r="G22" s="50"/>
      <c r="H22" s="24"/>
      <c r="I22" s="175" t="s">
        <v>33</v>
      </c>
      <c r="J22" s="176"/>
      <c r="K22" s="34"/>
      <c r="L22" s="62"/>
      <c r="M22" s="17" t="s">
        <v>34</v>
      </c>
      <c r="N22" s="31" t="s">
        <v>35</v>
      </c>
      <c r="O22" s="31"/>
      <c r="P22" s="31"/>
      <c r="Q22" s="59"/>
      <c r="R22" s="59"/>
      <c r="S22" s="59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3.5">
      <c r="A23" s="18"/>
      <c r="B23" s="159" t="s">
        <v>36</v>
      </c>
      <c r="C23" s="160"/>
      <c r="D23" s="37">
        <f>IF(AC19=TRUE,J18,IF(AC20=TRUE,J19,IF(AC21=TRUE,J20)))</f>
        <v>0.8</v>
      </c>
      <c r="E23" s="64"/>
      <c r="F23" s="50"/>
      <c r="G23" s="50"/>
      <c r="H23" s="39"/>
      <c r="I23" s="40" t="s">
        <v>37</v>
      </c>
      <c r="J23" s="57">
        <v>25</v>
      </c>
      <c r="K23" s="34"/>
      <c r="L23" s="62"/>
      <c r="M23" s="17"/>
      <c r="N23" s="31"/>
      <c r="O23" s="31"/>
      <c r="P23" s="31"/>
      <c r="Q23" s="59"/>
      <c r="R23" s="59"/>
      <c r="S23" s="59"/>
      <c r="T23" s="17"/>
      <c r="U23" s="17"/>
      <c r="V23" s="17"/>
      <c r="W23" s="17"/>
      <c r="X23" s="17"/>
      <c r="Y23" s="17"/>
      <c r="Z23" s="17"/>
      <c r="AA23" s="17"/>
      <c r="AB23" s="17"/>
    </row>
    <row r="24" spans="1:29" ht="13.5">
      <c r="A24" s="18"/>
      <c r="B24" s="182" t="s">
        <v>38</v>
      </c>
      <c r="C24" s="183"/>
      <c r="D24" s="65">
        <f>D22/D23</f>
        <v>0.6944444444444444</v>
      </c>
      <c r="E24" s="66" t="s">
        <v>32</v>
      </c>
      <c r="F24" s="50"/>
      <c r="G24" s="50"/>
      <c r="H24" s="39"/>
      <c r="I24" s="40" t="s">
        <v>39</v>
      </c>
      <c r="J24" s="57">
        <v>50</v>
      </c>
      <c r="K24" s="34"/>
      <c r="L24" s="62"/>
      <c r="M24" s="31"/>
      <c r="N24" s="59"/>
      <c r="O24" s="59"/>
      <c r="P24" s="5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0" t="b">
        <v>0</v>
      </c>
    </row>
    <row r="25" spans="1:29" ht="13.5">
      <c r="A25" s="18"/>
      <c r="B25" s="55"/>
      <c r="C25" s="67"/>
      <c r="D25" s="65">
        <f>1/D24</f>
        <v>1.44</v>
      </c>
      <c r="E25" s="66" t="s">
        <v>40</v>
      </c>
      <c r="F25" s="50"/>
      <c r="G25" s="50"/>
      <c r="H25" s="39"/>
      <c r="I25" s="40" t="s">
        <v>41</v>
      </c>
      <c r="J25" s="57">
        <v>75</v>
      </c>
      <c r="K25" s="34"/>
      <c r="L25" s="62"/>
      <c r="M25" s="192" t="s">
        <v>42</v>
      </c>
      <c r="N25" s="192"/>
      <c r="O25" s="192"/>
      <c r="P25" s="17"/>
      <c r="Q25" s="17"/>
      <c r="R25" s="17"/>
      <c r="S25" s="59"/>
      <c r="T25" s="17"/>
      <c r="U25" s="17"/>
      <c r="V25" s="17"/>
      <c r="W25" s="17"/>
      <c r="X25" s="17"/>
      <c r="Y25" s="17"/>
      <c r="Z25" s="17"/>
      <c r="AA25" s="17"/>
      <c r="AB25" s="17"/>
      <c r="AC25" s="10" t="b">
        <v>1</v>
      </c>
    </row>
    <row r="26" spans="1:29" ht="13.5">
      <c r="A26" s="18"/>
      <c r="B26" s="55"/>
      <c r="C26" s="68"/>
      <c r="D26" s="37"/>
      <c r="E26" s="64"/>
      <c r="F26" s="50"/>
      <c r="G26" s="50"/>
      <c r="H26" s="24"/>
      <c r="I26" s="19"/>
      <c r="J26" s="19"/>
      <c r="K26" s="25"/>
      <c r="L26" s="16"/>
      <c r="M26" s="193" t="s">
        <v>43</v>
      </c>
      <c r="N26" s="31">
        <f>D31</f>
        <v>120</v>
      </c>
      <c r="O26" s="17" t="s">
        <v>24</v>
      </c>
      <c r="P26" s="17"/>
      <c r="Q26" s="17"/>
      <c r="R26" s="17"/>
      <c r="S26" s="59"/>
      <c r="T26" s="17"/>
      <c r="U26" s="17"/>
      <c r="V26" s="17"/>
      <c r="W26" s="17"/>
      <c r="X26" s="17"/>
      <c r="Y26" s="17"/>
      <c r="Z26" s="17"/>
      <c r="AA26" s="17"/>
      <c r="AB26" s="17"/>
      <c r="AC26" s="10" t="b">
        <v>0</v>
      </c>
    </row>
    <row r="27" spans="1:28" ht="13.5">
      <c r="A27" s="18"/>
      <c r="B27" s="159" t="s">
        <v>44</v>
      </c>
      <c r="C27" s="160"/>
      <c r="D27" s="37">
        <f>IF(AC24=TRUE,J23,IF(AC25=TRUE,J24,IF(AC26=TRUE,J25)))</f>
        <v>50</v>
      </c>
      <c r="E27" s="38" t="s">
        <v>45</v>
      </c>
      <c r="F27" s="50"/>
      <c r="G27" s="50"/>
      <c r="H27" s="24"/>
      <c r="I27" s="175" t="s">
        <v>46</v>
      </c>
      <c r="J27" s="176"/>
      <c r="K27" s="34"/>
      <c r="L27" s="62"/>
      <c r="M27" s="193"/>
      <c r="N27" s="69">
        <f>N26/1.36</f>
        <v>88.23529411764706</v>
      </c>
      <c r="O27" s="17" t="s">
        <v>23</v>
      </c>
      <c r="P27" s="70"/>
      <c r="Q27" s="185" t="s">
        <v>47</v>
      </c>
      <c r="R27" s="185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3.5">
      <c r="A28" s="18"/>
      <c r="B28" s="159" t="s">
        <v>48</v>
      </c>
      <c r="C28" s="160"/>
      <c r="D28" s="52">
        <f>D20*100/D27</f>
        <v>90.66666666666669</v>
      </c>
      <c r="E28" s="38" t="s">
        <v>24</v>
      </c>
      <c r="F28" s="19"/>
      <c r="G28" s="19"/>
      <c r="H28" s="39"/>
      <c r="I28" s="71" t="s">
        <v>49</v>
      </c>
      <c r="J28" s="72">
        <v>90</v>
      </c>
      <c r="K28" s="34"/>
      <c r="L28" s="62"/>
      <c r="M28" s="184" t="s">
        <v>50</v>
      </c>
      <c r="N28" s="31">
        <f>+I58</f>
        <v>560</v>
      </c>
      <c r="O28" s="17" t="s">
        <v>51</v>
      </c>
      <c r="P28" s="17"/>
      <c r="Q28" s="185"/>
      <c r="R28" s="185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9" ht="13.5">
      <c r="A29" s="18"/>
      <c r="B29" s="60"/>
      <c r="C29" s="61"/>
      <c r="D29" s="37"/>
      <c r="E29" s="64"/>
      <c r="F29" s="19"/>
      <c r="G29" s="19"/>
      <c r="H29" s="39"/>
      <c r="I29" s="40" t="s">
        <v>52</v>
      </c>
      <c r="J29" s="57">
        <v>120</v>
      </c>
      <c r="K29" s="34"/>
      <c r="L29" s="62"/>
      <c r="M29" s="184"/>
      <c r="N29" s="73">
        <f>N27*N28</f>
        <v>49411.76470588235</v>
      </c>
      <c r="O29" s="17" t="s">
        <v>53</v>
      </c>
      <c r="P29" s="17"/>
      <c r="Q29" s="69" t="s">
        <v>54</v>
      </c>
      <c r="R29" s="74" t="s">
        <v>55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0" t="b">
        <v>0</v>
      </c>
    </row>
    <row r="30" spans="1:29" ht="13.5">
      <c r="A30" s="18"/>
      <c r="B30" s="159" t="s">
        <v>56</v>
      </c>
      <c r="C30" s="160"/>
      <c r="D30" s="37" t="str">
        <f>IF(AC29=TRUE,"Pequeño",IF(AC30=TRUE,"Mediano",IF(AC31=TRUE,"Grande",IF(AC32=TRUE,"Muy Grande",))))</f>
        <v>Mediano</v>
      </c>
      <c r="E30" s="38"/>
      <c r="F30" s="19"/>
      <c r="G30" s="19"/>
      <c r="H30" s="75" t="b">
        <v>1</v>
      </c>
      <c r="I30" s="40" t="s">
        <v>57</v>
      </c>
      <c r="J30" s="57">
        <v>150</v>
      </c>
      <c r="K30" s="34"/>
      <c r="L30" s="62"/>
      <c r="M30" s="184" t="s">
        <v>58</v>
      </c>
      <c r="N30" s="73">
        <v>12000</v>
      </c>
      <c r="O30" s="17" t="s">
        <v>59</v>
      </c>
      <c r="P30" s="17"/>
      <c r="Q30" s="73">
        <v>500</v>
      </c>
      <c r="R30" s="69">
        <f>$N$29/$N$30+$N$29/($N$31*Q30)+($N$29*$N$32*0.6)/(Q30*100)+($N$29*(($N$33+$N$34)/(Q30*100)))+$N$27*$N$36*$N$35</f>
        <v>14.967058823529412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0" t="b">
        <v>1</v>
      </c>
    </row>
    <row r="31" spans="1:29" ht="12.75" customHeight="1">
      <c r="A31" s="18"/>
      <c r="B31" s="159" t="s">
        <v>43</v>
      </c>
      <c r="C31" s="160"/>
      <c r="D31" s="37">
        <f>IF(AC29=TRUE,J28,IF(AC30=TRUE,J29,IF(AC31=TRUE,J30,IF(AC32=TRUE,J31,""))))</f>
        <v>120</v>
      </c>
      <c r="E31" s="38" t="s">
        <v>24</v>
      </c>
      <c r="F31" s="19"/>
      <c r="G31" s="19"/>
      <c r="H31" s="39"/>
      <c r="I31" s="40" t="s">
        <v>60</v>
      </c>
      <c r="J31" s="57">
        <v>180</v>
      </c>
      <c r="K31" s="25"/>
      <c r="L31" s="62"/>
      <c r="M31" s="184"/>
      <c r="N31" s="31">
        <v>20</v>
      </c>
      <c r="O31" s="17" t="s">
        <v>61</v>
      </c>
      <c r="P31" s="17"/>
      <c r="Q31" s="73">
        <v>1000</v>
      </c>
      <c r="R31" s="69">
        <f>$N$29/$N$30+$N$29/($N$31*Q31)+($N$29*$N$32*0.6)/(Q31*100)+($N$29*(($N$33+$N$34)/(Q31*100)))+$N$27*$N$36*$N$35</f>
        <v>10.865882352941176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0" t="b">
        <v>0</v>
      </c>
    </row>
    <row r="32" spans="1:29" ht="13.5">
      <c r="A32" s="18"/>
      <c r="B32" s="18"/>
      <c r="C32" s="19"/>
      <c r="D32" s="76"/>
      <c r="E32" s="34"/>
      <c r="F32" s="19"/>
      <c r="G32" s="19"/>
      <c r="H32" s="24"/>
      <c r="I32" s="19"/>
      <c r="J32" s="19"/>
      <c r="K32" s="34"/>
      <c r="L32" s="62"/>
      <c r="M32" s="26" t="s">
        <v>62</v>
      </c>
      <c r="N32" s="77">
        <f>+D49</f>
        <v>5</v>
      </c>
      <c r="O32" s="17" t="s">
        <v>45</v>
      </c>
      <c r="P32" s="17"/>
      <c r="Q32" s="17"/>
      <c r="R32" s="17"/>
      <c r="S32" s="17"/>
      <c r="T32" s="17"/>
      <c r="U32" s="59"/>
      <c r="V32" s="59"/>
      <c r="W32" s="59"/>
      <c r="X32" s="59"/>
      <c r="Y32" s="59"/>
      <c r="Z32" s="59"/>
      <c r="AA32" s="59"/>
      <c r="AB32" s="17"/>
      <c r="AC32" s="10" t="b">
        <v>0</v>
      </c>
    </row>
    <row r="33" spans="1:30" ht="13.5">
      <c r="A33" s="18"/>
      <c r="B33" s="171" t="s">
        <v>63</v>
      </c>
      <c r="C33" s="172"/>
      <c r="D33" s="78"/>
      <c r="E33" s="79"/>
      <c r="F33" s="19"/>
      <c r="G33" s="19"/>
      <c r="H33" s="24"/>
      <c r="I33" s="175" t="s">
        <v>64</v>
      </c>
      <c r="J33" s="176"/>
      <c r="K33" s="34"/>
      <c r="L33" s="62"/>
      <c r="M33" s="26" t="s">
        <v>65</v>
      </c>
      <c r="N33" s="77">
        <v>0.2</v>
      </c>
      <c r="O33" s="17" t="s">
        <v>45</v>
      </c>
      <c r="P33" s="17"/>
      <c r="Q33" s="17"/>
      <c r="R33" s="17"/>
      <c r="S33" s="17"/>
      <c r="T33" s="17"/>
      <c r="U33" s="59"/>
      <c r="V33" s="59"/>
      <c r="W33" s="59"/>
      <c r="X33" s="59"/>
      <c r="Y33" s="59"/>
      <c r="Z33" s="59"/>
      <c r="AA33" s="59"/>
      <c r="AB33" s="17"/>
      <c r="AD33" s="10" t="b">
        <v>1</v>
      </c>
    </row>
    <row r="34" spans="1:30" ht="13.5">
      <c r="A34" s="18"/>
      <c r="B34" s="159" t="s">
        <v>66</v>
      </c>
      <c r="C34" s="160"/>
      <c r="D34" s="63">
        <f>IF(D27=J23,J35*D31/1.36,IF(D27=J24,J36*D31/1.36,IF(D27=J25,J37*D31/1.36)))</f>
        <v>13.235294117647058</v>
      </c>
      <c r="E34" s="38" t="s">
        <v>67</v>
      </c>
      <c r="F34" s="19"/>
      <c r="G34" s="19"/>
      <c r="H34" s="24"/>
      <c r="I34" s="40" t="s">
        <v>68</v>
      </c>
      <c r="J34" s="72" t="s">
        <v>69</v>
      </c>
      <c r="K34" s="34"/>
      <c r="L34" s="62"/>
      <c r="M34" s="26" t="s">
        <v>70</v>
      </c>
      <c r="N34" s="77">
        <v>0.1</v>
      </c>
      <c r="O34" s="17" t="s">
        <v>45</v>
      </c>
      <c r="P34" s="17"/>
      <c r="Q34" s="17"/>
      <c r="R34" s="17"/>
      <c r="S34" s="17"/>
      <c r="T34" s="17"/>
      <c r="U34" s="59"/>
      <c r="V34" s="59"/>
      <c r="W34" s="59"/>
      <c r="X34" s="59"/>
      <c r="Y34" s="59"/>
      <c r="Z34" s="59"/>
      <c r="AA34" s="59"/>
      <c r="AB34" s="17"/>
      <c r="AD34" s="10" t="b">
        <v>0</v>
      </c>
    </row>
    <row r="35" spans="1:30" ht="13.5">
      <c r="A35" s="18"/>
      <c r="B35" s="60"/>
      <c r="C35" s="61"/>
      <c r="D35" s="63">
        <f>D34*D24</f>
        <v>9.191176470588234</v>
      </c>
      <c r="E35" s="38" t="s">
        <v>71</v>
      </c>
      <c r="F35" s="19"/>
      <c r="G35" s="19"/>
      <c r="H35" s="19"/>
      <c r="I35" s="40" t="s">
        <v>12</v>
      </c>
      <c r="J35" s="80">
        <v>0.1</v>
      </c>
      <c r="K35" s="34"/>
      <c r="L35" s="16"/>
      <c r="M35" s="81" t="s">
        <v>72</v>
      </c>
      <c r="N35" s="77">
        <v>0.2</v>
      </c>
      <c r="O35" s="82" t="s">
        <v>73</v>
      </c>
      <c r="P35" s="17"/>
      <c r="Q35" s="17"/>
      <c r="R35" s="17"/>
      <c r="S35" s="17"/>
      <c r="T35" s="17"/>
      <c r="U35" s="59"/>
      <c r="V35" s="59"/>
      <c r="W35" s="59"/>
      <c r="X35" s="59"/>
      <c r="Y35" s="59"/>
      <c r="Z35" s="59"/>
      <c r="AA35" s="59"/>
      <c r="AB35" s="17"/>
      <c r="AD35" s="10" t="b">
        <v>0</v>
      </c>
    </row>
    <row r="36" spans="1:30" ht="12.75" customHeight="1">
      <c r="A36" s="18"/>
      <c r="B36" s="159" t="s">
        <v>74</v>
      </c>
      <c r="C36" s="160"/>
      <c r="D36" s="83">
        <f>D34*0.1/100</f>
        <v>0.013235294117647059</v>
      </c>
      <c r="E36" s="38" t="s">
        <v>67</v>
      </c>
      <c r="F36" s="19"/>
      <c r="G36" s="19"/>
      <c r="H36" s="19"/>
      <c r="I36" s="40" t="s">
        <v>25</v>
      </c>
      <c r="J36" s="80">
        <v>0.15</v>
      </c>
      <c r="K36" s="25"/>
      <c r="L36" s="62"/>
      <c r="M36" s="81" t="s">
        <v>75</v>
      </c>
      <c r="N36" s="84">
        <v>0.15</v>
      </c>
      <c r="O36" s="82" t="s">
        <v>76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D36" s="10" t="b">
        <v>0</v>
      </c>
    </row>
    <row r="37" spans="1:28" ht="13.5">
      <c r="A37" s="18"/>
      <c r="B37" s="55"/>
      <c r="C37" s="68"/>
      <c r="D37" s="83">
        <f>D35*0.1/100</f>
        <v>0.009191176470588234</v>
      </c>
      <c r="E37" s="38" t="s">
        <v>71</v>
      </c>
      <c r="F37" s="19"/>
      <c r="G37" s="19"/>
      <c r="H37" s="19"/>
      <c r="I37" s="40" t="s">
        <v>16</v>
      </c>
      <c r="J37" s="80">
        <v>0.207</v>
      </c>
      <c r="K37" s="34"/>
      <c r="L37" s="62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4.25" thickBot="1">
      <c r="A38" s="18"/>
      <c r="B38" s="159" t="s">
        <v>77</v>
      </c>
      <c r="C38" s="160"/>
      <c r="D38" s="85">
        <v>1</v>
      </c>
      <c r="E38" s="38" t="s">
        <v>73</v>
      </c>
      <c r="F38" s="19"/>
      <c r="G38" s="19"/>
      <c r="H38" s="19"/>
      <c r="I38" s="19"/>
      <c r="J38" s="19"/>
      <c r="K38" s="34"/>
      <c r="L38" s="62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2.75" customHeight="1" thickTop="1">
      <c r="A39" s="18"/>
      <c r="B39" s="86" t="s">
        <v>78</v>
      </c>
      <c r="C39" s="87"/>
      <c r="D39" s="88">
        <f>D38*D34</f>
        <v>13.235294117647058</v>
      </c>
      <c r="E39" s="89" t="s">
        <v>79</v>
      </c>
      <c r="F39" s="19"/>
      <c r="G39" s="19"/>
      <c r="H39" s="50"/>
      <c r="I39" s="19"/>
      <c r="J39" s="19"/>
      <c r="K39" s="34"/>
      <c r="L39" s="62"/>
      <c r="M39" s="181" t="s">
        <v>80</v>
      </c>
      <c r="N39" s="181" t="s">
        <v>81</v>
      </c>
      <c r="O39" s="181" t="s">
        <v>82</v>
      </c>
      <c r="P39" s="181" t="s">
        <v>83</v>
      </c>
      <c r="Q39" s="181" t="s">
        <v>84</v>
      </c>
      <c r="R39" s="181" t="s">
        <v>85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3.5">
      <c r="A40" s="18"/>
      <c r="B40" s="90"/>
      <c r="C40" s="91"/>
      <c r="D40" s="92">
        <f>D35*D38</f>
        <v>9.191176470588234</v>
      </c>
      <c r="E40" s="93" t="s">
        <v>86</v>
      </c>
      <c r="F40" s="19"/>
      <c r="G40" s="19"/>
      <c r="H40" s="50"/>
      <c r="I40" s="19"/>
      <c r="J40" s="19"/>
      <c r="K40" s="34"/>
      <c r="L40" s="16"/>
      <c r="M40" s="181"/>
      <c r="N40" s="181"/>
      <c r="O40" s="181"/>
      <c r="P40" s="181"/>
      <c r="Q40" s="181"/>
      <c r="R40" s="181"/>
      <c r="S40" s="70"/>
      <c r="T40" s="70"/>
      <c r="U40" s="70"/>
      <c r="V40" s="70"/>
      <c r="W40" s="70"/>
      <c r="X40" s="70"/>
      <c r="Y40" s="74"/>
      <c r="Z40" s="17"/>
      <c r="AA40" s="17"/>
      <c r="AB40" s="17"/>
    </row>
    <row r="41" spans="1:28" ht="13.5">
      <c r="A41" s="18"/>
      <c r="B41" s="19"/>
      <c r="C41" s="19"/>
      <c r="D41" s="76"/>
      <c r="E41" s="22"/>
      <c r="F41" s="19"/>
      <c r="G41" s="19"/>
      <c r="H41" s="50"/>
      <c r="I41" s="190" t="s">
        <v>87</v>
      </c>
      <c r="J41" s="190"/>
      <c r="K41" s="34"/>
      <c r="L41" s="16"/>
      <c r="M41" s="31">
        <v>180</v>
      </c>
      <c r="N41" s="35">
        <v>75</v>
      </c>
      <c r="O41" s="35">
        <f aca="true" t="shared" si="0" ref="O41:O52">N41/100*M41</f>
        <v>135</v>
      </c>
      <c r="P41" s="43">
        <f aca="true" t="shared" si="1" ref="P41:P52">0.75*O41</f>
        <v>101.25</v>
      </c>
      <c r="Q41" s="35">
        <v>5</v>
      </c>
      <c r="R41" s="54">
        <f aca="true" t="shared" si="2" ref="R41:R52">P41/(Q41*1.36)</f>
        <v>14.88970588235294</v>
      </c>
      <c r="S41" s="69"/>
      <c r="T41" s="69"/>
      <c r="U41" s="69"/>
      <c r="V41" s="69"/>
      <c r="W41" s="69"/>
      <c r="X41" s="69"/>
      <c r="Y41" s="17"/>
      <c r="Z41" s="17"/>
      <c r="AA41" s="17"/>
      <c r="AB41" s="17"/>
    </row>
    <row r="42" spans="1:38" ht="13.5">
      <c r="A42" s="18"/>
      <c r="B42" s="188" t="s">
        <v>88</v>
      </c>
      <c r="C42" s="189"/>
      <c r="D42" s="94"/>
      <c r="E42" s="95"/>
      <c r="F42" s="96"/>
      <c r="G42" s="97"/>
      <c r="H42" s="98"/>
      <c r="I42" s="40" t="s">
        <v>12</v>
      </c>
      <c r="J42" s="41">
        <v>100</v>
      </c>
      <c r="K42" s="25"/>
      <c r="L42" s="62"/>
      <c r="M42" s="31">
        <v>180</v>
      </c>
      <c r="N42" s="35">
        <v>50</v>
      </c>
      <c r="O42" s="35">
        <f t="shared" si="0"/>
        <v>90</v>
      </c>
      <c r="P42" s="43">
        <f t="shared" si="1"/>
        <v>67.5</v>
      </c>
      <c r="Q42" s="35">
        <v>5</v>
      </c>
      <c r="R42" s="54">
        <f t="shared" si="2"/>
        <v>9.926470588235293</v>
      </c>
      <c r="S42" s="74"/>
      <c r="T42" s="74"/>
      <c r="U42" s="74"/>
      <c r="V42" s="74"/>
      <c r="W42" s="74"/>
      <c r="X42" s="74"/>
      <c r="Y42" s="17"/>
      <c r="Z42" s="17"/>
      <c r="AA42" s="17"/>
      <c r="AB42" s="17"/>
      <c r="AL42" s="10"/>
    </row>
    <row r="43" spans="1:28" ht="13.5">
      <c r="A43" s="18"/>
      <c r="B43" s="159" t="s">
        <v>89</v>
      </c>
      <c r="C43" s="160"/>
      <c r="D43" s="37">
        <f>IF(AC48=TRUE,J42,J43)</f>
        <v>100</v>
      </c>
      <c r="E43" s="99" t="s">
        <v>54</v>
      </c>
      <c r="F43" s="68"/>
      <c r="G43" s="100"/>
      <c r="H43" s="98"/>
      <c r="I43" s="40" t="s">
        <v>16</v>
      </c>
      <c r="J43" s="101">
        <v>200</v>
      </c>
      <c r="K43" s="34"/>
      <c r="L43" s="62"/>
      <c r="M43" s="31">
        <v>180</v>
      </c>
      <c r="N43" s="35">
        <v>25</v>
      </c>
      <c r="O43" s="35">
        <f t="shared" si="0"/>
        <v>45</v>
      </c>
      <c r="P43" s="43">
        <f t="shared" si="1"/>
        <v>33.75</v>
      </c>
      <c r="Q43" s="35">
        <v>5</v>
      </c>
      <c r="R43" s="54">
        <f t="shared" si="2"/>
        <v>4.963235294117647</v>
      </c>
      <c r="S43" s="31"/>
      <c r="T43" s="31"/>
      <c r="U43" s="31"/>
      <c r="V43" s="31"/>
      <c r="W43" s="31"/>
      <c r="X43" s="31"/>
      <c r="Y43" s="17"/>
      <c r="Z43" s="17"/>
      <c r="AA43" s="17"/>
      <c r="AB43" s="17"/>
    </row>
    <row r="44" spans="1:28" ht="13.5">
      <c r="A44" s="18"/>
      <c r="B44" s="60"/>
      <c r="C44" s="61"/>
      <c r="D44" s="37"/>
      <c r="E44" s="102"/>
      <c r="F44" s="68"/>
      <c r="G44" s="100"/>
      <c r="H44" s="50"/>
      <c r="I44" s="19"/>
      <c r="J44" s="19"/>
      <c r="K44" s="34"/>
      <c r="L44" s="62"/>
      <c r="M44" s="31">
        <v>150</v>
      </c>
      <c r="N44" s="35">
        <v>75</v>
      </c>
      <c r="O44" s="35">
        <f t="shared" si="0"/>
        <v>112.5</v>
      </c>
      <c r="P44" s="43">
        <f t="shared" si="1"/>
        <v>84.375</v>
      </c>
      <c r="Q44" s="35">
        <v>5</v>
      </c>
      <c r="R44" s="54">
        <f t="shared" si="2"/>
        <v>12.408088235294116</v>
      </c>
      <c r="S44" s="74"/>
      <c r="T44" s="74"/>
      <c r="U44" s="74"/>
      <c r="V44" s="74"/>
      <c r="W44" s="74"/>
      <c r="X44" s="74"/>
      <c r="Y44" s="17"/>
      <c r="Z44" s="17"/>
      <c r="AA44" s="17"/>
      <c r="AB44" s="17"/>
    </row>
    <row r="45" spans="1:28" ht="13.5">
      <c r="A45" s="18"/>
      <c r="B45" s="159" t="s">
        <v>90</v>
      </c>
      <c r="C45" s="160"/>
      <c r="D45" s="45">
        <f>+F45*D13</f>
        <v>13200</v>
      </c>
      <c r="E45" s="99" t="s">
        <v>53</v>
      </c>
      <c r="F45" s="103">
        <v>4400</v>
      </c>
      <c r="G45" s="100" t="s">
        <v>109</v>
      </c>
      <c r="H45" s="19"/>
      <c r="I45" s="19"/>
      <c r="J45" s="19"/>
      <c r="K45" s="104"/>
      <c r="L45" s="62"/>
      <c r="M45" s="31">
        <v>150</v>
      </c>
      <c r="N45" s="35">
        <v>50</v>
      </c>
      <c r="O45" s="35">
        <f t="shared" si="0"/>
        <v>75</v>
      </c>
      <c r="P45" s="43">
        <f t="shared" si="1"/>
        <v>56.25</v>
      </c>
      <c r="Q45" s="35">
        <v>5</v>
      </c>
      <c r="R45" s="54">
        <f t="shared" si="2"/>
        <v>8.272058823529411</v>
      </c>
      <c r="S45" s="74"/>
      <c r="T45" s="74"/>
      <c r="U45" s="74"/>
      <c r="V45" s="74"/>
      <c r="W45" s="74"/>
      <c r="X45" s="74"/>
      <c r="Y45" s="17"/>
      <c r="Z45" s="17"/>
      <c r="AA45" s="17"/>
      <c r="AB45" s="17"/>
    </row>
    <row r="46" spans="1:28" ht="13.5">
      <c r="A46" s="18"/>
      <c r="B46" s="55"/>
      <c r="C46" s="68"/>
      <c r="D46" s="45"/>
      <c r="E46" s="102"/>
      <c r="F46" s="68"/>
      <c r="G46" s="100"/>
      <c r="H46" s="19"/>
      <c r="I46" s="19"/>
      <c r="J46" s="19"/>
      <c r="K46" s="104"/>
      <c r="L46" s="16"/>
      <c r="M46" s="31">
        <v>150</v>
      </c>
      <c r="N46" s="35">
        <v>25</v>
      </c>
      <c r="O46" s="35">
        <f t="shared" si="0"/>
        <v>37.5</v>
      </c>
      <c r="P46" s="43">
        <f t="shared" si="1"/>
        <v>28.125</v>
      </c>
      <c r="Q46" s="35">
        <v>5</v>
      </c>
      <c r="R46" s="54">
        <f t="shared" si="2"/>
        <v>4.136029411764706</v>
      </c>
      <c r="S46" s="74"/>
      <c r="T46" s="69"/>
      <c r="U46" s="74"/>
      <c r="V46" s="74"/>
      <c r="W46" s="74"/>
      <c r="X46" s="74"/>
      <c r="Y46" s="17"/>
      <c r="Z46" s="17"/>
      <c r="AA46" s="17"/>
      <c r="AB46" s="17"/>
    </row>
    <row r="47" spans="1:28" ht="13.5">
      <c r="A47" s="18"/>
      <c r="B47" s="157" t="s">
        <v>91</v>
      </c>
      <c r="C47" s="158"/>
      <c r="D47" s="105">
        <v>1000</v>
      </c>
      <c r="E47" s="99" t="s">
        <v>92</v>
      </c>
      <c r="F47" s="63">
        <f>+$D$45/$D47</f>
        <v>13.2</v>
      </c>
      <c r="G47" s="106" t="s">
        <v>79</v>
      </c>
      <c r="H47" s="19"/>
      <c r="I47" s="19"/>
      <c r="J47" s="19"/>
      <c r="K47" s="104"/>
      <c r="L47" s="16"/>
      <c r="M47" s="31">
        <v>120</v>
      </c>
      <c r="N47" s="35">
        <v>75</v>
      </c>
      <c r="O47" s="35">
        <f t="shared" si="0"/>
        <v>90</v>
      </c>
      <c r="P47" s="43">
        <f t="shared" si="1"/>
        <v>67.5</v>
      </c>
      <c r="Q47" s="35">
        <v>5</v>
      </c>
      <c r="R47" s="54">
        <f t="shared" si="2"/>
        <v>9.926470588235293</v>
      </c>
      <c r="S47" s="74"/>
      <c r="T47" s="74"/>
      <c r="U47" s="74"/>
      <c r="V47" s="74"/>
      <c r="W47" s="74"/>
      <c r="X47" s="74"/>
      <c r="Y47" s="17"/>
      <c r="Z47" s="17"/>
      <c r="AA47" s="17"/>
      <c r="AB47" s="17"/>
    </row>
    <row r="48" spans="1:29" ht="13.5">
      <c r="A48" s="18"/>
      <c r="B48" s="157" t="s">
        <v>93</v>
      </c>
      <c r="C48" s="158"/>
      <c r="D48" s="107">
        <v>20</v>
      </c>
      <c r="E48" s="99" t="s">
        <v>61</v>
      </c>
      <c r="F48" s="63">
        <f>+$D$45/($D48*D43)</f>
        <v>6.6</v>
      </c>
      <c r="G48" s="106" t="s">
        <v>79</v>
      </c>
      <c r="H48" s="19"/>
      <c r="I48" s="186" t="str">
        <f>CONCATENATE("Vida útil para ",D43," h/año")</f>
        <v>Vida útil para 100 h/año</v>
      </c>
      <c r="J48" s="187"/>
      <c r="K48" s="25"/>
      <c r="L48" s="16"/>
      <c r="M48" s="31">
        <v>120</v>
      </c>
      <c r="N48" s="35">
        <v>50</v>
      </c>
      <c r="O48" s="35">
        <f t="shared" si="0"/>
        <v>60</v>
      </c>
      <c r="P48" s="43">
        <f t="shared" si="1"/>
        <v>45</v>
      </c>
      <c r="Q48" s="35">
        <v>5</v>
      </c>
      <c r="R48" s="54">
        <f t="shared" si="2"/>
        <v>6.617647058823529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0" t="b">
        <v>1</v>
      </c>
    </row>
    <row r="49" spans="1:29" ht="13.5">
      <c r="A49" s="18"/>
      <c r="B49" s="157" t="s">
        <v>94</v>
      </c>
      <c r="C49" s="158"/>
      <c r="D49" s="107">
        <v>5</v>
      </c>
      <c r="E49" s="99" t="s">
        <v>45</v>
      </c>
      <c r="F49" s="63">
        <f>+$D$45*0.006*$D49/D43</f>
        <v>3.96</v>
      </c>
      <c r="G49" s="106" t="s">
        <v>79</v>
      </c>
      <c r="H49" s="19"/>
      <c r="I49" s="108" t="s">
        <v>92</v>
      </c>
      <c r="J49" s="109">
        <f>+$D$45/($F$47+$F$48)</f>
        <v>666.6666666666667</v>
      </c>
      <c r="K49" s="34"/>
      <c r="L49" s="16"/>
      <c r="M49" s="31">
        <v>120</v>
      </c>
      <c r="N49" s="35">
        <v>25</v>
      </c>
      <c r="O49" s="35">
        <f t="shared" si="0"/>
        <v>30</v>
      </c>
      <c r="P49" s="43">
        <f t="shared" si="1"/>
        <v>22.5</v>
      </c>
      <c r="Q49" s="35">
        <v>5</v>
      </c>
      <c r="R49" s="54">
        <f t="shared" si="2"/>
        <v>3.3088235294117645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0" t="b">
        <v>0</v>
      </c>
    </row>
    <row r="50" spans="1:28" ht="13.5">
      <c r="A50" s="18"/>
      <c r="B50" s="157" t="s">
        <v>95</v>
      </c>
      <c r="C50" s="158"/>
      <c r="D50" s="107">
        <v>0.2</v>
      </c>
      <c r="E50" s="99" t="s">
        <v>96</v>
      </c>
      <c r="F50" s="63">
        <f>+$D$45*$D50/(100*D43)</f>
        <v>0.264</v>
      </c>
      <c r="G50" s="106" t="s">
        <v>79</v>
      </c>
      <c r="H50" s="19"/>
      <c r="I50" s="108" t="s">
        <v>61</v>
      </c>
      <c r="J50" s="110">
        <f>+$D$45/($D$43*($F$47+$F$48))</f>
        <v>6.666666666666668</v>
      </c>
      <c r="K50" s="34"/>
      <c r="L50" s="16"/>
      <c r="M50" s="31">
        <v>90</v>
      </c>
      <c r="N50" s="35">
        <v>75</v>
      </c>
      <c r="O50" s="35">
        <f t="shared" si="0"/>
        <v>67.5</v>
      </c>
      <c r="P50" s="43">
        <f t="shared" si="1"/>
        <v>50.625</v>
      </c>
      <c r="Q50" s="35">
        <v>5</v>
      </c>
      <c r="R50" s="54">
        <f t="shared" si="2"/>
        <v>7.44485294117647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3.5">
      <c r="A51" s="18"/>
      <c r="B51" s="157" t="s">
        <v>97</v>
      </c>
      <c r="C51" s="158"/>
      <c r="D51" s="107">
        <v>0.1</v>
      </c>
      <c r="E51" s="99" t="s">
        <v>96</v>
      </c>
      <c r="F51" s="63">
        <f>+$D$45*$D51/(D43*100)</f>
        <v>0.132</v>
      </c>
      <c r="G51" s="106" t="s">
        <v>79</v>
      </c>
      <c r="H51" s="19"/>
      <c r="I51" s="19"/>
      <c r="J51" s="19"/>
      <c r="K51" s="111"/>
      <c r="L51" s="16"/>
      <c r="M51" s="31">
        <v>90</v>
      </c>
      <c r="N51" s="35">
        <v>50</v>
      </c>
      <c r="O51" s="35">
        <f t="shared" si="0"/>
        <v>45</v>
      </c>
      <c r="P51" s="43">
        <f t="shared" si="1"/>
        <v>33.75</v>
      </c>
      <c r="Q51" s="35">
        <v>5</v>
      </c>
      <c r="R51" s="54">
        <f t="shared" si="2"/>
        <v>4.963235294117647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thickBot="1">
      <c r="A52" s="18"/>
      <c r="B52" s="157" t="s">
        <v>98</v>
      </c>
      <c r="C52" s="158"/>
      <c r="D52" s="85">
        <v>7</v>
      </c>
      <c r="E52" s="99" t="s">
        <v>86</v>
      </c>
      <c r="F52" s="63">
        <f>+D52/D24</f>
        <v>10.08</v>
      </c>
      <c r="G52" s="106" t="s">
        <v>79</v>
      </c>
      <c r="H52" s="19"/>
      <c r="I52" s="19"/>
      <c r="J52" s="19"/>
      <c r="K52" s="25"/>
      <c r="L52" s="16"/>
      <c r="M52" s="31">
        <v>90</v>
      </c>
      <c r="N52" s="35">
        <v>25</v>
      </c>
      <c r="O52" s="35">
        <f t="shared" si="0"/>
        <v>22.5</v>
      </c>
      <c r="P52" s="43">
        <f t="shared" si="1"/>
        <v>16.875</v>
      </c>
      <c r="Q52" s="35">
        <v>5</v>
      </c>
      <c r="R52" s="54">
        <f t="shared" si="2"/>
        <v>2.4816176470588234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thickTop="1">
      <c r="A53" s="18"/>
      <c r="B53" s="112"/>
      <c r="C53" s="113" t="s">
        <v>99</v>
      </c>
      <c r="D53" s="114"/>
      <c r="E53" s="114"/>
      <c r="F53" s="115">
        <f>SUM(F47:F52)</f>
        <v>34.236</v>
      </c>
      <c r="G53" s="116" t="s">
        <v>79</v>
      </c>
      <c r="H53" s="19"/>
      <c r="I53" s="19"/>
      <c r="J53" s="19"/>
      <c r="K53" s="117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3.5">
      <c r="A54" s="18"/>
      <c r="B54" s="118"/>
      <c r="C54" s="119"/>
      <c r="D54" s="120"/>
      <c r="E54" s="120"/>
      <c r="F54" s="121">
        <f>+F53*D24</f>
        <v>23.775</v>
      </c>
      <c r="G54" s="122" t="s">
        <v>86</v>
      </c>
      <c r="H54" s="19"/>
      <c r="I54" s="19"/>
      <c r="J54" s="19"/>
      <c r="K54" s="123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3.5">
      <c r="A55" s="18"/>
      <c r="B55" s="19"/>
      <c r="C55" s="19"/>
      <c r="D55" s="22"/>
      <c r="E55" s="22"/>
      <c r="F55" s="19"/>
      <c r="G55" s="124"/>
      <c r="H55" s="19"/>
      <c r="I55" s="19"/>
      <c r="J55" s="19"/>
      <c r="K55" s="125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3.5">
      <c r="A56" s="18"/>
      <c r="B56" s="173" t="s">
        <v>100</v>
      </c>
      <c r="C56" s="173"/>
      <c r="D56" s="173"/>
      <c r="E56" s="170" t="s">
        <v>101</v>
      </c>
      <c r="F56" s="170"/>
      <c r="G56" s="124"/>
      <c r="H56" s="19"/>
      <c r="I56" s="19"/>
      <c r="J56" s="19"/>
      <c r="K56" s="25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2.75" customHeight="1">
      <c r="A57" s="18"/>
      <c r="B57" s="162" t="s">
        <v>102</v>
      </c>
      <c r="C57" s="163"/>
      <c r="D57" s="126" t="s">
        <v>103</v>
      </c>
      <c r="E57" s="127" t="s">
        <v>79</v>
      </c>
      <c r="F57" s="127" t="s">
        <v>86</v>
      </c>
      <c r="G57" s="128">
        <f>IF(AC68=TRUE,F58,F58*0)</f>
        <v>34.1687908496732</v>
      </c>
      <c r="H57" s="19"/>
      <c r="I57" s="161" t="s">
        <v>116</v>
      </c>
      <c r="J57" s="161"/>
      <c r="K57" s="25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3.5">
      <c r="A58" s="18"/>
      <c r="B58" s="40"/>
      <c r="C58" s="40" t="s">
        <v>104</v>
      </c>
      <c r="D58" s="129">
        <f>R30</f>
        <v>14.967058823529412</v>
      </c>
      <c r="E58" s="110">
        <f>IF(AC68=TRUE,D58+F53,D58*0)</f>
        <v>49.20305882352941</v>
      </c>
      <c r="F58" s="130">
        <f>E58*$D$24</f>
        <v>34.1687908496732</v>
      </c>
      <c r="G58" s="131">
        <f>IF(AC69=TRUE,F59,F59*0)</f>
        <v>0</v>
      </c>
      <c r="H58" s="19"/>
      <c r="I58" s="132">
        <v>560</v>
      </c>
      <c r="J58" s="71" t="s">
        <v>117</v>
      </c>
      <c r="K58" s="25"/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3.5">
      <c r="A59" s="18"/>
      <c r="B59" s="40"/>
      <c r="C59" s="40" t="s">
        <v>105</v>
      </c>
      <c r="D59" s="129">
        <f>R31</f>
        <v>10.865882352941176</v>
      </c>
      <c r="E59" s="110">
        <f>IF(AC69=TRUE,D59+F53,D59*0)</f>
        <v>0</v>
      </c>
      <c r="F59" s="130">
        <f>E59*$D$24</f>
        <v>0</v>
      </c>
      <c r="G59" s="124"/>
      <c r="H59" s="19"/>
      <c r="I59" s="19"/>
      <c r="J59" s="19"/>
      <c r="K59" s="25"/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3.5">
      <c r="A60" s="18"/>
      <c r="B60" s="19"/>
      <c r="C60" s="133"/>
      <c r="D60" s="22"/>
      <c r="E60" s="20"/>
      <c r="F60" s="134"/>
      <c r="G60" s="124"/>
      <c r="H60" s="19"/>
      <c r="I60" s="19"/>
      <c r="J60" s="19"/>
      <c r="K60" s="25"/>
      <c r="L60" s="1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3.5" customHeight="1">
      <c r="A61" s="18"/>
      <c r="B61" s="135" t="s">
        <v>106</v>
      </c>
      <c r="C61" s="135"/>
      <c r="D61" s="135"/>
      <c r="E61" s="136" t="s">
        <v>99</v>
      </c>
      <c r="F61" s="136"/>
      <c r="G61" s="24"/>
      <c r="H61" s="19"/>
      <c r="I61" s="19"/>
      <c r="J61" s="19"/>
      <c r="K61" s="25"/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3.5">
      <c r="A62" s="18"/>
      <c r="B62" s="162" t="s">
        <v>102</v>
      </c>
      <c r="C62" s="163"/>
      <c r="D62" s="137" t="s">
        <v>107</v>
      </c>
      <c r="E62" s="166" t="s">
        <v>86</v>
      </c>
      <c r="F62" s="167"/>
      <c r="G62" s="24"/>
      <c r="H62" s="19"/>
      <c r="I62" s="19"/>
      <c r="J62" s="19"/>
      <c r="K62" s="25"/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9.5" customHeight="1">
      <c r="A63" s="18"/>
      <c r="B63" s="40"/>
      <c r="C63" s="138" t="str">
        <f>IF(D43=J42,"Baja","Alta")</f>
        <v>Baja</v>
      </c>
      <c r="D63" s="139">
        <f>D43*D25</f>
        <v>144</v>
      </c>
      <c r="E63" s="164">
        <f>$D$24*(($D$45/$D$47)+$D$45/($D$48*D63*$D$24)+(($D$45*0.006*$D$49)/(D63*$D$24))+$D$45*($D$50+$D$51)/(100*D63*$D$24)+($D$52/$D$24))+$G$57+$G$58</f>
        <v>57.9437908496732</v>
      </c>
      <c r="F63" s="165"/>
      <c r="G63" s="24"/>
      <c r="H63" s="19"/>
      <c r="I63" s="19"/>
      <c r="J63" s="19"/>
      <c r="K63" s="25"/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3.5">
      <c r="A64" s="18"/>
      <c r="B64" s="19"/>
      <c r="C64" s="133"/>
      <c r="D64" s="22"/>
      <c r="E64" s="20"/>
      <c r="F64" s="140"/>
      <c r="G64" s="141"/>
      <c r="H64" s="19"/>
      <c r="I64" s="19"/>
      <c r="J64" s="19"/>
      <c r="K64" s="25"/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3.5">
      <c r="A65" s="18"/>
      <c r="B65" s="19"/>
      <c r="C65" s="19"/>
      <c r="D65" s="22"/>
      <c r="E65" s="22"/>
      <c r="F65" s="19"/>
      <c r="G65" s="24"/>
      <c r="H65" s="19"/>
      <c r="I65" s="19"/>
      <c r="J65" s="19"/>
      <c r="K65" s="25"/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2.75" customHeight="1">
      <c r="A66" s="18"/>
      <c r="B66" s="19"/>
      <c r="C66" s="142"/>
      <c r="D66" s="22"/>
      <c r="E66" s="22"/>
      <c r="F66" s="143"/>
      <c r="G66" s="124"/>
      <c r="H66" s="19"/>
      <c r="I66" s="19"/>
      <c r="J66" s="19"/>
      <c r="K66" s="25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3.5">
      <c r="A67" s="18"/>
      <c r="B67" s="19"/>
      <c r="C67" s="19"/>
      <c r="D67" s="22"/>
      <c r="E67" s="22"/>
      <c r="F67" s="143"/>
      <c r="G67" s="124"/>
      <c r="H67" s="19"/>
      <c r="I67" s="19"/>
      <c r="J67" s="19"/>
      <c r="K67" s="25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9" ht="13.5">
      <c r="A68" s="18"/>
      <c r="B68" s="19"/>
      <c r="C68" s="19"/>
      <c r="D68" s="22"/>
      <c r="E68" s="22"/>
      <c r="F68" s="19"/>
      <c r="G68" s="24"/>
      <c r="H68" s="19"/>
      <c r="I68" s="19"/>
      <c r="J68" s="19"/>
      <c r="K68" s="30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0" t="b">
        <v>1</v>
      </c>
    </row>
    <row r="69" spans="1:29" ht="13.5">
      <c r="A69" s="144"/>
      <c r="B69" s="145"/>
      <c r="C69" s="145"/>
      <c r="D69" s="146"/>
      <c r="E69" s="146"/>
      <c r="F69" s="145"/>
      <c r="G69" s="147"/>
      <c r="H69" s="145"/>
      <c r="I69" s="145"/>
      <c r="J69" s="145"/>
      <c r="K69" s="148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0" t="b">
        <v>0</v>
      </c>
    </row>
    <row r="70" spans="3:28" ht="13.5">
      <c r="C70" s="149"/>
      <c r="D70" s="150"/>
      <c r="E70" s="151"/>
      <c r="F70" s="152"/>
      <c r="G70" s="153"/>
      <c r="K70" s="154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4:28" ht="13.5">
      <c r="D71" s="150"/>
      <c r="E71" s="151"/>
      <c r="F71" s="152"/>
      <c r="G71" s="153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2:28" ht="13.5">
      <c r="L72" s="1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2:29" ht="13.5">
      <c r="L73" s="16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0" t="b">
        <v>1</v>
      </c>
    </row>
    <row r="74" spans="12:29" ht="13.5">
      <c r="L74" s="16"/>
      <c r="AC74" s="10" t="b">
        <v>0</v>
      </c>
    </row>
    <row r="75" ht="13.5">
      <c r="L75" s="16"/>
    </row>
    <row r="76" ht="13.5">
      <c r="L76" s="16"/>
    </row>
    <row r="77" ht="13.5">
      <c r="L77" s="16"/>
    </row>
    <row r="78" ht="13.5">
      <c r="L78" s="16"/>
    </row>
  </sheetData>
  <sheetProtection/>
  <mergeCells count="56">
    <mergeCell ref="O39:O40"/>
    <mergeCell ref="M16:M17"/>
    <mergeCell ref="I22:J22"/>
    <mergeCell ref="I27:J27"/>
    <mergeCell ref="M19:N19"/>
    <mergeCell ref="M25:O25"/>
    <mergeCell ref="M26:M27"/>
    <mergeCell ref="B50:C50"/>
    <mergeCell ref="I33:J33"/>
    <mergeCell ref="B43:C43"/>
    <mergeCell ref="B48:C48"/>
    <mergeCell ref="B49:C49"/>
    <mergeCell ref="B42:C42"/>
    <mergeCell ref="B45:C45"/>
    <mergeCell ref="I41:J41"/>
    <mergeCell ref="B34:C34"/>
    <mergeCell ref="Q39:Q40"/>
    <mergeCell ref="R39:R40"/>
    <mergeCell ref="P39:P40"/>
    <mergeCell ref="B23:C23"/>
    <mergeCell ref="B24:C24"/>
    <mergeCell ref="M30:M31"/>
    <mergeCell ref="Q27:R28"/>
    <mergeCell ref="M39:M40"/>
    <mergeCell ref="M28:M29"/>
    <mergeCell ref="N39:N40"/>
    <mergeCell ref="B56:D56"/>
    <mergeCell ref="M13:M14"/>
    <mergeCell ref="I13:J13"/>
    <mergeCell ref="I17:J17"/>
    <mergeCell ref="B13:C13"/>
    <mergeCell ref="B16:C16"/>
    <mergeCell ref="B17:C17"/>
    <mergeCell ref="B14:C14"/>
    <mergeCell ref="B15:C15"/>
    <mergeCell ref="I48:J48"/>
    <mergeCell ref="B62:C62"/>
    <mergeCell ref="E63:F63"/>
    <mergeCell ref="E62:F62"/>
    <mergeCell ref="B22:C22"/>
    <mergeCell ref="B19:C19"/>
    <mergeCell ref="B47:C47"/>
    <mergeCell ref="B31:C31"/>
    <mergeCell ref="B28:C28"/>
    <mergeCell ref="B20:C20"/>
    <mergeCell ref="E56:F56"/>
    <mergeCell ref="M10:N10"/>
    <mergeCell ref="B51:C51"/>
    <mergeCell ref="B52:C52"/>
    <mergeCell ref="B27:C27"/>
    <mergeCell ref="B30:C30"/>
    <mergeCell ref="I57:J57"/>
    <mergeCell ref="B57:C57"/>
    <mergeCell ref="B33:C33"/>
    <mergeCell ref="B38:C38"/>
    <mergeCell ref="B36:C36"/>
  </mergeCells>
  <conditionalFormatting sqref="C58">
    <cfRule type="expression" priority="1" dxfId="0" stopIfTrue="1">
      <formula>$G$57&gt;0</formula>
    </cfRule>
  </conditionalFormatting>
  <conditionalFormatting sqref="C59">
    <cfRule type="expression" priority="2" dxfId="0" stopIfTrue="1">
      <formula>$G$58&gt;0</formula>
    </cfRule>
  </conditionalFormatting>
  <conditionalFormatting sqref="J14:J15">
    <cfRule type="cellIs" priority="3" dxfId="0" operator="equal" stopIfTrue="1">
      <formula>$D$13</formula>
    </cfRule>
  </conditionalFormatting>
  <conditionalFormatting sqref="J28:J31">
    <cfRule type="cellIs" priority="4" dxfId="0" operator="equal" stopIfTrue="1">
      <formula>$D$31</formula>
    </cfRule>
  </conditionalFormatting>
  <conditionalFormatting sqref="J23:J25">
    <cfRule type="cellIs" priority="5" dxfId="0" operator="equal" stopIfTrue="1">
      <formula>$D$27</formula>
    </cfRule>
  </conditionalFormatting>
  <conditionalFormatting sqref="J18:J20">
    <cfRule type="cellIs" priority="6" dxfId="0" operator="equal" stopIfTrue="1">
      <formula>$D$23</formula>
    </cfRule>
  </conditionalFormatting>
  <conditionalFormatting sqref="J35">
    <cfRule type="expression" priority="7" dxfId="0" stopIfTrue="1">
      <formula>$D$27=25</formula>
    </cfRule>
  </conditionalFormatting>
  <conditionalFormatting sqref="J36">
    <cfRule type="expression" priority="8" dxfId="0" stopIfTrue="1">
      <formula>$D$27=50</formula>
    </cfRule>
  </conditionalFormatting>
  <conditionalFormatting sqref="J37">
    <cfRule type="expression" priority="9" dxfId="0" stopIfTrue="1">
      <formula>$D$27=75</formula>
    </cfRule>
  </conditionalFormatting>
  <conditionalFormatting sqref="J42:J43">
    <cfRule type="cellIs" priority="10" dxfId="0" operator="equal" stopIfTrue="1">
      <formula>$D$43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32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91.8515625" style="1" customWidth="1"/>
  </cols>
  <sheetData>
    <row r="1" s="2" customFormat="1" ht="12.75">
      <c r="A1" s="3"/>
    </row>
    <row r="2" s="2" customFormat="1" ht="12.75">
      <c r="A2" s="3"/>
    </row>
    <row r="3" s="2" customFormat="1" ht="12.75">
      <c r="A3" s="3"/>
    </row>
    <row r="4" s="2" customFormat="1" ht="12.75">
      <c r="A4" s="3"/>
    </row>
    <row r="5" s="2" customFormat="1" ht="12.75">
      <c r="A5" s="3"/>
    </row>
    <row r="6" s="2" customFormat="1" ht="12.75">
      <c r="A6" s="3"/>
    </row>
    <row r="7" s="2" customFormat="1" ht="12.75">
      <c r="A7" s="3"/>
    </row>
    <row r="8" ht="12.75">
      <c r="A8" s="4" t="s">
        <v>115</v>
      </c>
    </row>
    <row r="9" ht="12.75">
      <c r="A9" s="5"/>
    </row>
    <row r="10" ht="12.75">
      <c r="A10" s="5" t="s">
        <v>113</v>
      </c>
    </row>
    <row r="11" ht="12.75">
      <c r="A11" s="5" t="s">
        <v>135</v>
      </c>
    </row>
    <row r="12" ht="12.75">
      <c r="A12" s="5" t="s">
        <v>118</v>
      </c>
    </row>
    <row r="13" ht="12.75">
      <c r="A13" s="5" t="s">
        <v>119</v>
      </c>
    </row>
    <row r="14" ht="22.5">
      <c r="A14" s="5" t="s">
        <v>120</v>
      </c>
    </row>
    <row r="15" ht="12.75">
      <c r="A15" s="5" t="s">
        <v>134</v>
      </c>
    </row>
    <row r="16" ht="22.5">
      <c r="A16" s="5" t="s">
        <v>121</v>
      </c>
    </row>
    <row r="17" ht="22.5">
      <c r="A17" s="5" t="s">
        <v>122</v>
      </c>
    </row>
    <row r="18" ht="25.5" customHeight="1">
      <c r="A18" s="5" t="s">
        <v>123</v>
      </c>
    </row>
    <row r="19" ht="12.75">
      <c r="A19" s="5"/>
    </row>
    <row r="20" ht="12.75">
      <c r="A20" s="5" t="s">
        <v>114</v>
      </c>
    </row>
    <row r="21" ht="12.75">
      <c r="A21" s="5" t="s">
        <v>131</v>
      </c>
    </row>
    <row r="22" ht="24.75" customHeight="1">
      <c r="A22" s="5" t="s">
        <v>124</v>
      </c>
    </row>
    <row r="23" ht="12.75">
      <c r="A23" s="5" t="s">
        <v>132</v>
      </c>
    </row>
    <row r="24" ht="12.75">
      <c r="A24" s="5" t="s">
        <v>125</v>
      </c>
    </row>
    <row r="25" ht="12.75">
      <c r="A25" s="5" t="s">
        <v>126</v>
      </c>
    </row>
    <row r="26" ht="12.75">
      <c r="A26" s="6" t="s">
        <v>136</v>
      </c>
    </row>
    <row r="27" ht="12.75">
      <c r="A27" s="5" t="s">
        <v>127</v>
      </c>
    </row>
    <row r="28" ht="12.75">
      <c r="A28" s="5" t="s">
        <v>128</v>
      </c>
    </row>
    <row r="29" ht="12.75">
      <c r="A29" s="5" t="s">
        <v>133</v>
      </c>
    </row>
    <row r="30" ht="12.75">
      <c r="A30" s="5" t="s">
        <v>129</v>
      </c>
    </row>
    <row r="31" ht="22.5">
      <c r="A31" s="5" t="s">
        <v>130</v>
      </c>
    </row>
    <row r="32" ht="12.75">
      <c r="A32" s="3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2008-09-10T12:04:55Z</cp:lastPrinted>
  <dcterms:created xsi:type="dcterms:W3CDTF">2008-05-01T15:24:43Z</dcterms:created>
  <dcterms:modified xsi:type="dcterms:W3CDTF">2014-06-27T08:17:06Z</dcterms:modified>
  <cp:category/>
  <cp:version/>
  <cp:contentType/>
  <cp:contentStatus/>
</cp:coreProperties>
</file>