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885" windowHeight="8970" tabRatio="852" activeTab="0"/>
  </bookViews>
  <sheets>
    <sheet name="Arada chisel" sheetId="1" r:id="rId1"/>
    <sheet name="Metodología" sheetId="2" r:id="rId2"/>
  </sheets>
  <definedNames>
    <definedName name="_xlnm.Print_Area" localSheetId="0">'Arada chisel'!$A$1:$K$68</definedName>
    <definedName name="_xlnm.Print_Area" localSheetId="1">'Metodología'!$A$1:$A$35</definedName>
    <definedName name="Z_039E3839_049A_4F05_9EAF_8C8ED138CC23_.wvu.Cols" localSheetId="0" hidden="1">'Arada chisel'!$AD:$AD</definedName>
    <definedName name="Z_039E3839_049A_4F05_9EAF_8C8ED138CC23_.wvu.PrintArea" localSheetId="0" hidden="1">'Arada chisel'!$A$8:$T$66</definedName>
  </definedNames>
  <calcPr fullCalcOnLoad="1"/>
</workbook>
</file>

<file path=xl/sharedStrings.xml><?xml version="1.0" encoding="utf-8"?>
<sst xmlns="http://schemas.openxmlformats.org/spreadsheetml/2006/main" count="221" uniqueCount="147">
  <si>
    <t>€</t>
  </si>
  <si>
    <t>kW</t>
  </si>
  <si>
    <t>horas</t>
  </si>
  <si>
    <t>%</t>
  </si>
  <si>
    <t>CV</t>
  </si>
  <si>
    <t>años</t>
  </si>
  <si>
    <t>€/L</t>
  </si>
  <si>
    <t>€/kW</t>
  </si>
  <si>
    <t>Seguros</t>
  </si>
  <si>
    <t>Consumo de combustible</t>
  </si>
  <si>
    <t>Resguardo</t>
  </si>
  <si>
    <t>L/h-kW</t>
  </si>
  <si>
    <t>L/h</t>
  </si>
  <si>
    <t>OPERACIÓN:</t>
  </si>
  <si>
    <t xml:space="preserve">APERO: </t>
  </si>
  <si>
    <t>Tipo suelo</t>
  </si>
  <si>
    <t>Ligero</t>
  </si>
  <si>
    <t>Medio</t>
  </si>
  <si>
    <t>Pesado</t>
  </si>
  <si>
    <t>Baja</t>
  </si>
  <si>
    <t>Media</t>
  </si>
  <si>
    <t>Alta</t>
  </si>
  <si>
    <t>Profundidad de trabajo</t>
  </si>
  <si>
    <t>Arada</t>
  </si>
  <si>
    <t>cm</t>
  </si>
  <si>
    <t>Profundidad de trabajo (cm)</t>
  </si>
  <si>
    <t>Anchura apero</t>
  </si>
  <si>
    <t>m</t>
  </si>
  <si>
    <t>Peso apero</t>
  </si>
  <si>
    <t>kg</t>
  </si>
  <si>
    <t>Resistencia suelo</t>
  </si>
  <si>
    <t>Resist.específica (kPa)</t>
  </si>
  <si>
    <t>kPa</t>
  </si>
  <si>
    <t>Fuerza</t>
  </si>
  <si>
    <t>daN</t>
  </si>
  <si>
    <t>Velocidad de trabajo</t>
  </si>
  <si>
    <t>km/h</t>
  </si>
  <si>
    <t>Potencia de tracción</t>
  </si>
  <si>
    <t>h/ha</t>
  </si>
  <si>
    <t>Eficiencia</t>
  </si>
  <si>
    <t>ha/h</t>
  </si>
  <si>
    <t>Nivel de carga de trabajo (%)</t>
  </si>
  <si>
    <t>Potencia tractor necesaria</t>
  </si>
  <si>
    <t>Mediano</t>
  </si>
  <si>
    <t>Grande</t>
  </si>
  <si>
    <t>Muy grande</t>
  </si>
  <si>
    <t>Nivel potencia tractor (CV)</t>
  </si>
  <si>
    <t>Eficiencia de trabajo</t>
  </si>
  <si>
    <t>Consumo combustible</t>
  </si>
  <si>
    <t>Carga</t>
  </si>
  <si>
    <t>Consumo de aceite</t>
  </si>
  <si>
    <t>Precio adquisición</t>
  </si>
  <si>
    <t>amort. - desgaste</t>
  </si>
  <si>
    <t>amort. - obsolescencia</t>
  </si>
  <si>
    <t>interés</t>
  </si>
  <si>
    <t>seguros</t>
  </si>
  <si>
    <t>resguardo</t>
  </si>
  <si>
    <t>mantenim-reparaciones</t>
  </si>
  <si>
    <t>h</t>
  </si>
  <si>
    <t>% PA</t>
  </si>
  <si>
    <t>€/ha</t>
  </si>
  <si>
    <t>h/año</t>
  </si>
  <si>
    <t>€/h</t>
  </si>
  <si>
    <t>Coste total</t>
  </si>
  <si>
    <t>Horas trabajo anuales</t>
  </si>
  <si>
    <t>ha/año</t>
  </si>
  <si>
    <t>Tractor auxiliar</t>
  </si>
  <si>
    <t>Chisel</t>
  </si>
  <si>
    <t>RESULTADOS MAPA para 22 cm de profundidad media: De 9 L/ha a 18 L/ha según textura y prof trabajo</t>
  </si>
  <si>
    <t>Nivel de carga del tractor</t>
  </si>
  <si>
    <t>Pequeño</t>
  </si>
  <si>
    <t>pot tractor CV</t>
  </si>
  <si>
    <t>nivel carga %</t>
  </si>
  <si>
    <t>pot utilizada</t>
  </si>
  <si>
    <t>vel km/h</t>
  </si>
  <si>
    <t>R suelo kPa</t>
  </si>
  <si>
    <t>Prf trabajo (cm)</t>
  </si>
  <si>
    <t>medium soil</t>
  </si>
  <si>
    <t>fine soil</t>
  </si>
  <si>
    <t>coarse soil</t>
  </si>
  <si>
    <t>ASAE chisel plow</t>
  </si>
  <si>
    <t>3 m</t>
  </si>
  <si>
    <t>Bajo</t>
  </si>
  <si>
    <t>Alto</t>
  </si>
  <si>
    <t>COSTES DE UTILIZACIÓN</t>
  </si>
  <si>
    <t>COSTES DE POSESIÓN</t>
  </si>
  <si>
    <t>13 dient</t>
  </si>
  <si>
    <t>Capacidad trabajo teórica</t>
  </si>
  <si>
    <t>Capacidad trabajo real</t>
  </si>
  <si>
    <t>Coste gasóleo</t>
  </si>
  <si>
    <t>Coste combustible</t>
  </si>
  <si>
    <t>L/ha</t>
  </si>
  <si>
    <t>7 dient</t>
  </si>
  <si>
    <t>F(daN)</t>
  </si>
  <si>
    <t>P(kW)</t>
  </si>
  <si>
    <t>anchura max (m)</t>
  </si>
  <si>
    <t>Coef. Menor grado pulveriz.</t>
  </si>
  <si>
    <t>Factor (L/h-kW)</t>
  </si>
  <si>
    <t>v (km/h)</t>
  </si>
  <si>
    <t>Pot a la barra i/rod+desliz</t>
  </si>
  <si>
    <t>P barra i/rod+desliz</t>
  </si>
  <si>
    <t>Tipo de tractor escogido</t>
  </si>
  <si>
    <t>Potencia tractor escogido</t>
  </si>
  <si>
    <t>Alta (1.000 h/año)</t>
  </si>
  <si>
    <t>Baja (500 h/año)</t>
  </si>
  <si>
    <t>€/h s/comb</t>
  </si>
  <si>
    <t>Utilización anual</t>
  </si>
  <si>
    <t>Utilización apero (h/año)</t>
  </si>
  <si>
    <t>AUXILIAR</t>
  </si>
  <si>
    <t>kg/m</t>
  </si>
  <si>
    <t>€/m</t>
  </si>
  <si>
    <t>Mant.-Reparac</t>
  </si>
  <si>
    <t>Hipótesis tractor auxiliar</t>
  </si>
  <si>
    <t>Costes horarios tractor auxiliar  (€/h)</t>
  </si>
  <si>
    <t>€/h s/comb.</t>
  </si>
  <si>
    <t>Amortización</t>
  </si>
  <si>
    <t>Precio adquis.</t>
  </si>
  <si>
    <t>Tasa interés</t>
  </si>
  <si>
    <t>Cons.carga media</t>
  </si>
  <si>
    <t xml:space="preserve"> +combustible</t>
  </si>
  <si>
    <t>TRACTOR + APERO</t>
  </si>
  <si>
    <t>Arada con chisel</t>
  </si>
  <si>
    <t>Los datos de partida de esta operación son los siguientes:</t>
  </si>
  <si>
    <t>Las hipótesis establecidas para el cálculo de los costes son las siguientes:</t>
  </si>
  <si>
    <t>Utilización anual apero: En función de las horas de trabajo anuales elegidas y de la capacidad de trabajo se obtiene la superficie anual trabajada por el apero en ha/año.</t>
  </si>
  <si>
    <t>Precio adquisición tractor</t>
  </si>
  <si>
    <t xml:space="preserve"> €/kW de potencia</t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</si>
  <si>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 xml:space="preserve">Profundidad de trabajo: alta (22 cm) y baja (18 cm)      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</si>
  <si>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Anchura apero: baja (3 m), media (4 m) y alta (5 m).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</si>
  <si>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Peso del apero: Estimado en 250 kg/m.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</si>
  <si>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Resistencia del suelo: A escoger según del tipo de suelo: ligero, medio o pesado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</si>
  <si>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Eficiencia de la operación: Baja, media o alta (se recomienda escoger alta para esta operación puesto que es la situación más habitual)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</si>
  <si>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Nivel de carga del tractor: Bajo, medio o alto (se recomienda escoger alto para esta operación)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</si>
  <si>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Velocidad de trabajo: Es un valor tomado de las velocidades recomendadas de trabajo.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</si>
  <si>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Coeficiente de reducción por menor grado de pulverización: Estimado en 0,5 para considerar que el apero realiza una pulverización menor que en el caso de la vertedera.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</si>
  <si>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Potencia a la barra incluidos rodadura y deslizamiento: Es la potencia necesaria a la barra consideradas unas pérdidas por rodadura y deslizamiento del 25 %.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</si>
  <si>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Potencia del tractor escogido: Es la potencia del tractor seleccionado por el usuario en función de los resultados obtenidos.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</si>
  <si>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Horas de trabajo anuales: Se han estimado dos rangos diferentes de utilización del apero al año, baja (100 h/año) y alta (200 h/año)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</si>
  <si>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Amortización por desgaste: 3.000 h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</si>
  <si>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Amortización por obsolescencia: 20 años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</si>
  <si>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Seguros: 0,2 % del precio de adquisición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</si>
  <si>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Resguardo: 0,1 % del precio de adquisición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</si>
  <si>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Utilización anual tractor auxiliar: Se han estimado dos rangos diferentes de trabajo, 500 y 1.000 h/año.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</si>
  <si>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Precio de adquisición: Estimado en 2.500 €/m de anchura de trabajo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</si>
  <si>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Coste de combustible: 1,00 €/L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</si>
  <si>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Mantenimiento y reparaciones: 1,10 €/ha</t>
    </r>
  </si>
  <si>
    <r>
      <t>-</t>
    </r>
    <r>
      <rPr>
        <sz val="9"/>
        <rFont val="Times New Roman"/>
        <family val="1"/>
      </rPr>
      <t xml:space="preserve">          </t>
    </r>
    <r>
      <rPr>
        <sz val="9"/>
        <rFont val="Arial"/>
        <family val="2"/>
      </rPr>
      <t>Interés: 5 %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</si>
</sst>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#,##0.0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42"/>
      <name val="Arial"/>
      <family val="2"/>
    </font>
    <font>
      <sz val="11"/>
      <color indexed="42"/>
      <name val="Arial"/>
      <family val="2"/>
    </font>
    <font>
      <b/>
      <sz val="11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0" fontId="0" fillId="4" borderId="0" xfId="0" applyFill="1" applyAlignment="1">
      <alignment horizontal="justify" wrapText="1"/>
    </xf>
    <xf numFmtId="49" fontId="4" fillId="4" borderId="0" xfId="0" applyNumberFormat="1" applyFont="1" applyFill="1" applyAlignment="1">
      <alignment horizontal="justify" wrapText="1"/>
    </xf>
    <xf numFmtId="49" fontId="5" fillId="4" borderId="0" xfId="0" applyNumberFormat="1" applyFont="1" applyFill="1" applyAlignment="1">
      <alignment horizontal="justify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 locked="0"/>
    </xf>
    <xf numFmtId="0" fontId="24" fillId="4" borderId="10" xfId="0" applyFont="1" applyFill="1" applyBorder="1" applyAlignment="1">
      <alignment/>
    </xf>
    <xf numFmtId="0" fontId="24" fillId="4" borderId="11" xfId="0" applyFont="1" applyFill="1" applyBorder="1" applyAlignment="1">
      <alignment/>
    </xf>
    <xf numFmtId="0" fontId="24" fillId="4" borderId="11" xfId="0" applyFont="1" applyFill="1" applyBorder="1" applyAlignment="1">
      <alignment horizontal="center"/>
    </xf>
    <xf numFmtId="0" fontId="24" fillId="4" borderId="12" xfId="0" applyFont="1" applyFill="1" applyBorder="1" applyAlignment="1">
      <alignment/>
    </xf>
    <xf numFmtId="0" fontId="24" fillId="4" borderId="13" xfId="0" applyFont="1" applyFill="1" applyBorder="1" applyAlignment="1">
      <alignment/>
    </xf>
    <xf numFmtId="0" fontId="24" fillId="4" borderId="0" xfId="0" applyFont="1" applyFill="1" applyBorder="1" applyAlignment="1">
      <alignment/>
    </xf>
    <xf numFmtId="0" fontId="26" fillId="4" borderId="0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left"/>
    </xf>
    <xf numFmtId="0" fontId="24" fillId="4" borderId="0" xfId="0" applyFont="1" applyFill="1" applyBorder="1" applyAlignment="1">
      <alignment horizontal="center"/>
    </xf>
    <xf numFmtId="0" fontId="26" fillId="4" borderId="0" xfId="0" applyFont="1" applyFill="1" applyBorder="1" applyAlignment="1">
      <alignment/>
    </xf>
    <xf numFmtId="0" fontId="24" fillId="4" borderId="14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8" fillId="4" borderId="14" xfId="0" applyFont="1" applyFill="1" applyBorder="1" applyAlignment="1">
      <alignment/>
    </xf>
    <xf numFmtId="0" fontId="24" fillId="4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center"/>
      <protection locked="0"/>
    </xf>
    <xf numFmtId="0" fontId="26" fillId="24" borderId="10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0" fontId="24" fillId="24" borderId="11" xfId="0" applyFont="1" applyFill="1" applyBorder="1" applyAlignment="1" applyProtection="1">
      <alignment horizontal="center"/>
      <protection hidden="1"/>
    </xf>
    <xf numFmtId="0" fontId="26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/>
    </xf>
    <xf numFmtId="0" fontId="24" fillId="24" borderId="12" xfId="0" applyFont="1" applyFill="1" applyBorder="1" applyAlignment="1">
      <alignment/>
    </xf>
    <xf numFmtId="0" fontId="24" fillId="24" borderId="15" xfId="0" applyFont="1" applyFill="1" applyBorder="1" applyAlignment="1">
      <alignment/>
    </xf>
    <xf numFmtId="0" fontId="24" fillId="24" borderId="15" xfId="0" applyFont="1" applyFill="1" applyBorder="1" applyAlignment="1">
      <alignment horizontal="center"/>
    </xf>
    <xf numFmtId="0" fontId="24" fillId="4" borderId="14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left"/>
    </xf>
    <xf numFmtId="1" fontId="24" fillId="24" borderId="0" xfId="0" applyNumberFormat="1" applyFont="1" applyFill="1" applyBorder="1" applyAlignment="1" applyProtection="1">
      <alignment horizontal="center"/>
      <protection hidden="1"/>
    </xf>
    <xf numFmtId="0" fontId="26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4" fillId="24" borderId="14" xfId="0" applyFont="1" applyFill="1" applyBorder="1" applyAlignment="1" applyProtection="1">
      <alignment/>
      <protection locked="0"/>
    </xf>
    <xf numFmtId="0" fontId="24" fillId="4" borderId="15" xfId="0" applyFont="1" applyFill="1" applyBorder="1" applyAlignment="1" applyProtection="1">
      <alignment/>
      <protection locked="0"/>
    </xf>
    <xf numFmtId="0" fontId="24" fillId="24" borderId="15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/>
    </xf>
    <xf numFmtId="3" fontId="24" fillId="24" borderId="0" xfId="0" applyNumberFormat="1" applyFont="1" applyFill="1" applyBorder="1" applyAlignment="1" applyProtection="1">
      <alignment horizontal="center"/>
      <protection hidden="1"/>
    </xf>
    <xf numFmtId="0" fontId="29" fillId="24" borderId="0" xfId="0" applyFont="1" applyFill="1" applyBorder="1" applyAlignment="1" applyProtection="1">
      <alignment horizontal="center"/>
      <protection locked="0"/>
    </xf>
    <xf numFmtId="0" fontId="26" fillId="24" borderId="14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left"/>
    </xf>
    <xf numFmtId="0" fontId="24" fillId="24" borderId="0" xfId="0" applyFont="1" applyFill="1" applyBorder="1" applyAlignment="1" applyProtection="1">
      <alignment horizontal="center"/>
      <protection hidden="1"/>
    </xf>
    <xf numFmtId="0" fontId="24" fillId="24" borderId="0" xfId="0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4" fillId="24" borderId="16" xfId="0" applyFont="1" applyFill="1" applyBorder="1" applyAlignment="1">
      <alignment horizontal="center"/>
    </xf>
    <xf numFmtId="0" fontId="24" fillId="24" borderId="17" xfId="0" applyFont="1" applyFill="1" applyBorder="1" applyAlignment="1">
      <alignment horizontal="center"/>
    </xf>
    <xf numFmtId="0" fontId="24" fillId="4" borderId="15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3" fontId="25" fillId="0" borderId="0" xfId="0" applyNumberFormat="1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64" fontId="25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64" fontId="25" fillId="0" borderId="0" xfId="0" applyNumberFormat="1" applyFont="1" applyFill="1" applyBorder="1" applyAlignment="1" applyProtection="1">
      <alignment/>
      <protection hidden="1"/>
    </xf>
    <xf numFmtId="0" fontId="29" fillId="24" borderId="15" xfId="0" applyFont="1" applyFill="1" applyBorder="1" applyAlignment="1" applyProtection="1">
      <alignment horizontal="center"/>
      <protection locked="0"/>
    </xf>
    <xf numFmtId="2" fontId="24" fillId="24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>
      <alignment horizontal="center"/>
    </xf>
    <xf numFmtId="0" fontId="30" fillId="24" borderId="13" xfId="0" applyFont="1" applyFill="1" applyBorder="1" applyAlignment="1">
      <alignment horizontal="left"/>
    </xf>
    <xf numFmtId="0" fontId="30" fillId="24" borderId="0" xfId="0" applyFont="1" applyFill="1" applyBorder="1" applyAlignment="1">
      <alignment horizontal="left"/>
    </xf>
    <xf numFmtId="2" fontId="31" fillId="24" borderId="0" xfId="0" applyNumberFormat="1" applyFont="1" applyFill="1" applyBorder="1" applyAlignment="1" applyProtection="1">
      <alignment horizontal="center"/>
      <protection hidden="1"/>
    </xf>
    <xf numFmtId="0" fontId="30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left"/>
    </xf>
    <xf numFmtId="0" fontId="24" fillId="24" borderId="15" xfId="0" applyFont="1" applyFill="1" applyBorder="1" applyAlignment="1" applyProtection="1">
      <alignment horizontal="center"/>
      <protection hidden="1"/>
    </xf>
    <xf numFmtId="3" fontId="25" fillId="0" borderId="0" xfId="0" applyNumberFormat="1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32" fillId="0" borderId="0" xfId="0" applyFont="1" applyFill="1" applyBorder="1" applyAlignment="1">
      <alignment wrapText="1"/>
    </xf>
    <xf numFmtId="0" fontId="25" fillId="0" borderId="0" xfId="0" applyFont="1" applyFill="1" applyBorder="1" applyAlignment="1" applyProtection="1">
      <alignment/>
      <protection hidden="1"/>
    </xf>
    <xf numFmtId="0" fontId="26" fillId="24" borderId="18" xfId="0" applyFont="1" applyFill="1" applyBorder="1" applyAlignment="1">
      <alignment horizontal="left"/>
    </xf>
    <xf numFmtId="0" fontId="26" fillId="24" borderId="19" xfId="0" applyFont="1" applyFill="1" applyBorder="1" applyAlignment="1">
      <alignment horizontal="left"/>
    </xf>
    <xf numFmtId="0" fontId="24" fillId="24" borderId="19" xfId="0" applyFont="1" applyFill="1" applyBorder="1" applyAlignment="1" applyProtection="1">
      <alignment horizontal="center"/>
      <protection hidden="1"/>
    </xf>
    <xf numFmtId="0" fontId="26" fillId="24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/>
    </xf>
    <xf numFmtId="0" fontId="24" fillId="24" borderId="19" xfId="0" applyFont="1" applyFill="1" applyBorder="1" applyAlignment="1">
      <alignment/>
    </xf>
    <xf numFmtId="0" fontId="24" fillId="4" borderId="0" xfId="0" applyFont="1" applyFill="1" applyBorder="1" applyAlignment="1" applyProtection="1">
      <alignment horizontal="center"/>
      <protection hidden="1"/>
    </xf>
    <xf numFmtId="0" fontId="26" fillId="8" borderId="16" xfId="0" applyFont="1" applyFill="1" applyBorder="1" applyAlignment="1">
      <alignment horizontal="left"/>
    </xf>
    <xf numFmtId="0" fontId="26" fillId="8" borderId="20" xfId="0" applyFont="1" applyFill="1" applyBorder="1" applyAlignment="1">
      <alignment horizontal="left"/>
    </xf>
    <xf numFmtId="0" fontId="24" fillId="8" borderId="20" xfId="0" applyFont="1" applyFill="1" applyBorder="1" applyAlignment="1" applyProtection="1">
      <alignment horizontal="center"/>
      <protection hidden="1"/>
    </xf>
    <xf numFmtId="0" fontId="24" fillId="8" borderId="17" xfId="0" applyFont="1" applyFill="1" applyBorder="1" applyAlignment="1">
      <alignment horizontal="center"/>
    </xf>
    <xf numFmtId="0" fontId="24" fillId="24" borderId="15" xfId="0" applyFont="1" applyFill="1" applyBorder="1" applyAlignment="1">
      <alignment horizontal="center"/>
    </xf>
    <xf numFmtId="0" fontId="24" fillId="24" borderId="15" xfId="0" applyFont="1" applyFill="1" applyBorder="1" applyAlignment="1">
      <alignment horizontal="left"/>
    </xf>
    <xf numFmtId="165" fontId="24" fillId="24" borderId="0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>
      <alignment horizontal="center" wrapText="1"/>
    </xf>
    <xf numFmtId="0" fontId="26" fillId="24" borderId="21" xfId="0" applyFont="1" applyFill="1" applyBorder="1" applyAlignment="1">
      <alignment horizontal="left"/>
    </xf>
    <xf numFmtId="0" fontId="26" fillId="24" borderId="22" xfId="0" applyFont="1" applyFill="1" applyBorder="1" applyAlignment="1">
      <alignment horizontal="left"/>
    </xf>
    <xf numFmtId="2" fontId="29" fillId="24" borderId="22" xfId="0" applyNumberFormat="1" applyFont="1" applyFill="1" applyBorder="1" applyAlignment="1" applyProtection="1">
      <alignment horizontal="center"/>
      <protection hidden="1" locked="0"/>
    </xf>
    <xf numFmtId="0" fontId="26" fillId="24" borderId="23" xfId="0" applyFont="1" applyFill="1" applyBorder="1" applyAlignment="1">
      <alignment horizontal="center"/>
    </xf>
    <xf numFmtId="0" fontId="30" fillId="24" borderId="13" xfId="0" applyFont="1" applyFill="1" applyBorder="1" applyAlignment="1">
      <alignment horizontal="left"/>
    </xf>
    <xf numFmtId="0" fontId="30" fillId="24" borderId="0" xfId="0" applyFont="1" applyFill="1" applyBorder="1" applyAlignment="1">
      <alignment horizontal="left"/>
    </xf>
    <xf numFmtId="164" fontId="31" fillId="24" borderId="0" xfId="0" applyNumberFormat="1" applyFont="1" applyFill="1" applyBorder="1" applyAlignment="1" applyProtection="1">
      <alignment horizontal="center"/>
      <protection hidden="1"/>
    </xf>
    <xf numFmtId="0" fontId="30" fillId="24" borderId="14" xfId="0" applyFont="1" applyFill="1" applyBorder="1" applyAlignment="1">
      <alignment horizontal="center"/>
    </xf>
    <xf numFmtId="0" fontId="30" fillId="24" borderId="18" xfId="0" applyFont="1" applyFill="1" applyBorder="1" applyAlignment="1">
      <alignment horizontal="left"/>
    </xf>
    <xf numFmtId="0" fontId="30" fillId="24" borderId="19" xfId="0" applyFont="1" applyFill="1" applyBorder="1" applyAlignment="1">
      <alignment horizontal="left"/>
    </xf>
    <xf numFmtId="164" fontId="31" fillId="24" borderId="19" xfId="0" applyNumberFormat="1" applyFont="1" applyFill="1" applyBorder="1" applyAlignment="1" applyProtection="1">
      <alignment horizontal="center"/>
      <protection hidden="1"/>
    </xf>
    <xf numFmtId="0" fontId="30" fillId="24" borderId="2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left"/>
    </xf>
    <xf numFmtId="165" fontId="31" fillId="4" borderId="0" xfId="0" applyNumberFormat="1" applyFont="1" applyFill="1" applyBorder="1" applyAlignment="1" applyProtection="1">
      <alignment horizontal="center"/>
      <protection hidden="1"/>
    </xf>
    <xf numFmtId="0" fontId="30" fillId="4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 vertical="center" wrapText="1"/>
    </xf>
    <xf numFmtId="0" fontId="24" fillId="8" borderId="20" xfId="0" applyFont="1" applyFill="1" applyBorder="1" applyAlignment="1">
      <alignment horizontal="center"/>
    </xf>
    <xf numFmtId="0" fontId="24" fillId="8" borderId="20" xfId="0" applyFont="1" applyFill="1" applyBorder="1" applyAlignment="1">
      <alignment/>
    </xf>
    <xf numFmtId="0" fontId="24" fillId="8" borderId="17" xfId="0" applyFont="1" applyFill="1" applyBorder="1" applyAlignment="1">
      <alignment/>
    </xf>
    <xf numFmtId="165" fontId="24" fillId="24" borderId="15" xfId="0" applyNumberFormat="1" applyFont="1" applyFill="1" applyBorder="1" applyAlignment="1" applyProtection="1">
      <alignment horizontal="center"/>
      <protection hidden="1"/>
    </xf>
    <xf numFmtId="165" fontId="24" fillId="4" borderId="14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 horizontal="left" vertical="top"/>
    </xf>
    <xf numFmtId="0" fontId="24" fillId="24" borderId="14" xfId="0" applyFont="1" applyFill="1" applyBorder="1" applyAlignment="1">
      <alignment/>
    </xf>
    <xf numFmtId="3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/>
    </xf>
    <xf numFmtId="3" fontId="29" fillId="24" borderId="0" xfId="0" applyNumberFormat="1" applyFont="1" applyFill="1" applyBorder="1" applyAlignment="1" applyProtection="1">
      <alignment horizontal="center"/>
      <protection locked="0"/>
    </xf>
    <xf numFmtId="0" fontId="26" fillId="24" borderId="14" xfId="0" applyFont="1" applyFill="1" applyBorder="1" applyAlignment="1">
      <alignment/>
    </xf>
    <xf numFmtId="165" fontId="24" fillId="24" borderId="0" xfId="0" applyNumberFormat="1" applyFont="1" applyFill="1" applyBorder="1" applyAlignment="1" applyProtection="1">
      <alignment horizontal="center"/>
      <protection/>
    </xf>
    <xf numFmtId="0" fontId="24" fillId="24" borderId="13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6" fillId="24" borderId="13" xfId="0" applyFont="1" applyFill="1" applyBorder="1" applyAlignment="1">
      <alignment horizontal="right"/>
    </xf>
    <xf numFmtId="0" fontId="26" fillId="24" borderId="0" xfId="0" applyFont="1" applyFill="1" applyBorder="1" applyAlignment="1">
      <alignment horizontal="right"/>
    </xf>
    <xf numFmtId="3" fontId="29" fillId="24" borderId="0" xfId="0" applyNumberFormat="1" applyFont="1" applyFill="1" applyBorder="1" applyAlignment="1" applyProtection="1">
      <alignment horizontal="center"/>
      <protection hidden="1" locked="0"/>
    </xf>
    <xf numFmtId="0" fontId="24" fillId="4" borderId="15" xfId="0" applyFont="1" applyFill="1" applyBorder="1" applyAlignment="1">
      <alignment/>
    </xf>
    <xf numFmtId="0" fontId="29" fillId="24" borderId="15" xfId="0" applyFont="1" applyFill="1" applyBorder="1" applyAlignment="1" applyProtection="1">
      <alignment horizontal="center"/>
      <protection hidden="1" locked="0"/>
    </xf>
    <xf numFmtId="0" fontId="29" fillId="24" borderId="0" xfId="0" applyFont="1" applyFill="1" applyBorder="1" applyAlignment="1" applyProtection="1">
      <alignment horizontal="center"/>
      <protection hidden="1" locked="0"/>
    </xf>
    <xf numFmtId="3" fontId="29" fillId="24" borderId="15" xfId="0" applyNumberFormat="1" applyFont="1" applyFill="1" applyBorder="1" applyAlignment="1" applyProtection="1">
      <alignment horizontal="center"/>
      <protection hidden="1" locked="0"/>
    </xf>
    <xf numFmtId="3" fontId="24" fillId="4" borderId="14" xfId="0" applyNumberFormat="1" applyFont="1" applyFill="1" applyBorder="1" applyAlignment="1">
      <alignment horizontal="center"/>
    </xf>
    <xf numFmtId="165" fontId="24" fillId="4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center"/>
      <protection locked="0"/>
    </xf>
    <xf numFmtId="0" fontId="26" fillId="4" borderId="14" xfId="0" applyFont="1" applyFill="1" applyBorder="1" applyAlignment="1">
      <alignment horizontal="center"/>
    </xf>
    <xf numFmtId="0" fontId="26" fillId="24" borderId="21" xfId="0" applyFont="1" applyFill="1" applyBorder="1" applyAlignment="1">
      <alignment horizontal="right"/>
    </xf>
    <xf numFmtId="0" fontId="26" fillId="24" borderId="22" xfId="0" applyFont="1" applyFill="1" applyBorder="1" applyAlignment="1">
      <alignment horizontal="right"/>
    </xf>
    <xf numFmtId="0" fontId="26" fillId="24" borderId="22" xfId="0" applyFont="1" applyFill="1" applyBorder="1" applyAlignment="1">
      <alignment horizontal="center"/>
    </xf>
    <xf numFmtId="2" fontId="24" fillId="24" borderId="22" xfId="0" applyNumberFormat="1" applyFont="1" applyFill="1" applyBorder="1" applyAlignment="1" applyProtection="1">
      <alignment horizontal="center"/>
      <protection hidden="1"/>
    </xf>
    <xf numFmtId="0" fontId="26" fillId="24" borderId="23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0" fontId="26" fillId="24" borderId="16" xfId="0" applyFont="1" applyFill="1" applyBorder="1" applyAlignment="1" applyProtection="1">
      <alignment horizontal="center"/>
      <protection hidden="1"/>
    </xf>
    <xf numFmtId="0" fontId="26" fillId="24" borderId="17" xfId="0" applyFont="1" applyFill="1" applyBorder="1" applyAlignment="1" applyProtection="1">
      <alignment horizontal="center"/>
      <protection hidden="1"/>
    </xf>
    <xf numFmtId="3" fontId="26" fillId="4" borderId="14" xfId="0" applyNumberFormat="1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wrapText="1"/>
      <protection hidden="1"/>
    </xf>
    <xf numFmtId="0" fontId="31" fillId="0" borderId="0" xfId="0" applyFont="1" applyBorder="1" applyAlignment="1">
      <alignment/>
    </xf>
    <xf numFmtId="0" fontId="26" fillId="24" borderId="15" xfId="0" applyFont="1" applyFill="1" applyBorder="1" applyAlignment="1">
      <alignment horizontal="center"/>
    </xf>
    <xf numFmtId="3" fontId="26" fillId="24" borderId="15" xfId="0" applyNumberFormat="1" applyFont="1" applyFill="1" applyBorder="1" applyAlignment="1" applyProtection="1">
      <alignment horizontal="center"/>
      <protection hidden="1"/>
    </xf>
    <xf numFmtId="1" fontId="26" fillId="4" borderId="14" xfId="0" applyNumberFormat="1" applyFont="1" applyFill="1" applyBorder="1" applyAlignment="1">
      <alignment horizontal="center"/>
    </xf>
    <xf numFmtId="0" fontId="24" fillId="24" borderId="18" xfId="0" applyFont="1" applyFill="1" applyBorder="1" applyAlignment="1">
      <alignment/>
    </xf>
    <xf numFmtId="0" fontId="30" fillId="24" borderId="19" xfId="0" applyFont="1" applyFill="1" applyBorder="1" applyAlignment="1">
      <alignment horizontal="right"/>
    </xf>
    <xf numFmtId="0" fontId="24" fillId="24" borderId="19" xfId="0" applyFont="1" applyFill="1" applyBorder="1" applyAlignment="1">
      <alignment horizontal="center"/>
    </xf>
    <xf numFmtId="2" fontId="30" fillId="24" borderId="19" xfId="0" applyNumberFormat="1" applyFont="1" applyFill="1" applyBorder="1" applyAlignment="1">
      <alignment horizontal="center"/>
    </xf>
    <xf numFmtId="0" fontId="30" fillId="24" borderId="24" xfId="0" applyFont="1" applyFill="1" applyBorder="1" applyAlignment="1">
      <alignment/>
    </xf>
    <xf numFmtId="2" fontId="26" fillId="24" borderId="15" xfId="0" applyNumberFormat="1" applyFont="1" applyFill="1" applyBorder="1" applyAlignment="1" applyProtection="1">
      <alignment horizontal="center"/>
      <protection hidden="1"/>
    </xf>
    <xf numFmtId="164" fontId="25" fillId="0" borderId="0" xfId="0" applyNumberFormat="1" applyFont="1" applyFill="1" applyBorder="1" applyAlignment="1" applyProtection="1">
      <alignment horizontal="center"/>
      <protection hidden="1"/>
    </xf>
    <xf numFmtId="2" fontId="25" fillId="0" borderId="0" xfId="0" applyNumberFormat="1" applyFont="1" applyFill="1" applyBorder="1" applyAlignment="1" applyProtection="1">
      <alignment horizontal="center"/>
      <protection hidden="1"/>
    </xf>
    <xf numFmtId="0" fontId="26" fillId="24" borderId="15" xfId="0" applyFont="1" applyFill="1" applyBorder="1" applyAlignment="1">
      <alignment horizontal="left"/>
    </xf>
    <xf numFmtId="0" fontId="24" fillId="24" borderId="15" xfId="0" applyFont="1" applyFill="1" applyBorder="1" applyAlignment="1" applyProtection="1">
      <alignment horizontal="center"/>
      <protection/>
    </xf>
    <xf numFmtId="0" fontId="30" fillId="4" borderId="0" xfId="0" applyFont="1" applyFill="1" applyBorder="1" applyAlignment="1">
      <alignment/>
    </xf>
    <xf numFmtId="0" fontId="26" fillId="24" borderId="16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4" fillId="24" borderId="15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/>
    </xf>
    <xf numFmtId="0" fontId="26" fillId="0" borderId="15" xfId="0" applyFont="1" applyBorder="1" applyAlignment="1">
      <alignment horizontal="center"/>
    </xf>
    <xf numFmtId="2" fontId="24" fillId="24" borderId="15" xfId="0" applyNumberFormat="1" applyFont="1" applyFill="1" applyBorder="1" applyAlignment="1" applyProtection="1">
      <alignment horizontal="center" vertical="center"/>
      <protection hidden="1"/>
    </xf>
    <xf numFmtId="2" fontId="26" fillId="24" borderId="15" xfId="0" applyNumberFormat="1" applyFont="1" applyFill="1" applyBorder="1" applyAlignment="1" applyProtection="1">
      <alignment horizontal="center" vertical="center"/>
      <protection hidden="1"/>
    </xf>
    <xf numFmtId="0" fontId="34" fillId="4" borderId="0" xfId="0" applyFont="1" applyFill="1" applyBorder="1" applyAlignment="1" applyProtection="1">
      <alignment/>
      <protection hidden="1"/>
    </xf>
    <xf numFmtId="0" fontId="35" fillId="0" borderId="15" xfId="0" applyFont="1" applyBorder="1" applyAlignment="1">
      <alignment horizontal="right"/>
    </xf>
    <xf numFmtId="0" fontId="24" fillId="0" borderId="15" xfId="0" applyFont="1" applyFill="1" applyBorder="1" applyAlignment="1">
      <alignment horizontal="left"/>
    </xf>
    <xf numFmtId="0" fontId="26" fillId="4" borderId="0" xfId="0" applyFont="1" applyFill="1" applyBorder="1" applyAlignment="1">
      <alignment horizontal="right"/>
    </xf>
    <xf numFmtId="2" fontId="31" fillId="4" borderId="0" xfId="0" applyNumberFormat="1" applyFont="1" applyFill="1" applyBorder="1" applyAlignment="1">
      <alignment vertical="center"/>
    </xf>
    <xf numFmtId="0" fontId="26" fillId="3" borderId="16" xfId="0" applyFont="1" applyFill="1" applyBorder="1" applyAlignment="1">
      <alignment horizontal="center"/>
    </xf>
    <xf numFmtId="0" fontId="26" fillId="3" borderId="20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32" fillId="20" borderId="16" xfId="0" applyFont="1" applyFill="1" applyBorder="1" applyAlignment="1">
      <alignment horizontal="center"/>
    </xf>
    <xf numFmtId="0" fontId="32" fillId="20" borderId="17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 vertical="center" wrapText="1"/>
    </xf>
    <xf numFmtId="4" fontId="24" fillId="24" borderId="15" xfId="0" applyNumberFormat="1" applyFont="1" applyFill="1" applyBorder="1" applyAlignment="1" applyProtection="1">
      <alignment horizontal="center" vertical="center"/>
      <protection hidden="1"/>
    </xf>
    <xf numFmtId="2" fontId="32" fillId="20" borderId="16" xfId="0" applyNumberFormat="1" applyFont="1" applyFill="1" applyBorder="1" applyAlignment="1" applyProtection="1">
      <alignment horizontal="center" vertical="center"/>
      <protection hidden="1"/>
    </xf>
    <xf numFmtId="2" fontId="32" fillId="20" borderId="17" xfId="0" applyNumberFormat="1" applyFont="1" applyFill="1" applyBorder="1" applyAlignment="1" applyProtection="1">
      <alignment horizontal="center" vertical="center"/>
      <protection hidden="1"/>
    </xf>
    <xf numFmtId="0" fontId="24" fillId="4" borderId="11" xfId="0" applyFont="1" applyFill="1" applyBorder="1" applyAlignment="1">
      <alignment horizontal="center" vertical="center"/>
    </xf>
    <xf numFmtId="2" fontId="30" fillId="4" borderId="11" xfId="0" applyNumberFormat="1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/>
    </xf>
    <xf numFmtId="0" fontId="24" fillId="4" borderId="19" xfId="0" applyFont="1" applyFill="1" applyBorder="1" applyAlignment="1">
      <alignment/>
    </xf>
    <xf numFmtId="0" fontId="24" fillId="4" borderId="19" xfId="0" applyFont="1" applyFill="1" applyBorder="1" applyAlignment="1">
      <alignment horizontal="center"/>
    </xf>
    <xf numFmtId="0" fontId="24" fillId="4" borderId="19" xfId="0" applyFont="1" applyFill="1" applyBorder="1" applyAlignment="1">
      <alignment/>
    </xf>
    <xf numFmtId="0" fontId="28" fillId="4" borderId="24" xfId="0" applyFont="1" applyFill="1" applyBorder="1" applyAlignment="1">
      <alignment/>
    </xf>
    <xf numFmtId="164" fontId="25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2" fontId="31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8" fillId="24" borderId="0" xfId="0" applyFont="1" applyFill="1" applyAlignment="1">
      <alignment/>
    </xf>
    <xf numFmtId="0" fontId="30" fillId="0" borderId="0" xfId="0" applyFont="1" applyFill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2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7.emf" /><Relationship Id="rId3" Type="http://schemas.openxmlformats.org/officeDocument/2006/relationships/image" Target="../media/image19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10.emf" /><Relationship Id="rId8" Type="http://schemas.openxmlformats.org/officeDocument/2006/relationships/image" Target="../media/image6.emf" /><Relationship Id="rId9" Type="http://schemas.openxmlformats.org/officeDocument/2006/relationships/image" Target="../media/image17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20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image" Target="../media/image9.emf" /><Relationship Id="rId18" Type="http://schemas.openxmlformats.org/officeDocument/2006/relationships/image" Target="../media/image16.emf" /><Relationship Id="rId19" Type="http://schemas.openxmlformats.org/officeDocument/2006/relationships/image" Target="../media/image3.emf" /><Relationship Id="rId20" Type="http://schemas.openxmlformats.org/officeDocument/2006/relationships/image" Target="../media/image21.emf" /><Relationship Id="rId21" Type="http://schemas.openxmlformats.org/officeDocument/2006/relationships/image" Target="../media/image5.emf" /><Relationship Id="rId22" Type="http://schemas.openxmlformats.org/officeDocument/2006/relationships/image" Target="../media/image23.emf" /><Relationship Id="rId23" Type="http://schemas.openxmlformats.org/officeDocument/2006/relationships/image" Target="../media/image1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361950</xdr:colOff>
      <xdr:row>7</xdr:row>
      <xdr:rowOff>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12</xdr:row>
      <xdr:rowOff>0</xdr:rowOff>
    </xdr:from>
    <xdr:to>
      <xdr:col>7</xdr:col>
      <xdr:colOff>247650</xdr:colOff>
      <xdr:row>12</xdr:row>
      <xdr:rowOff>142875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028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13</xdr:row>
      <xdr:rowOff>9525</xdr:rowOff>
    </xdr:from>
    <xdr:to>
      <xdr:col>7</xdr:col>
      <xdr:colOff>228600</xdr:colOff>
      <xdr:row>13</xdr:row>
      <xdr:rowOff>142875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33875" y="22479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14</xdr:row>
      <xdr:rowOff>19050</xdr:rowOff>
    </xdr:from>
    <xdr:to>
      <xdr:col>7</xdr:col>
      <xdr:colOff>219075</xdr:colOff>
      <xdr:row>14</xdr:row>
      <xdr:rowOff>142875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24350" y="2466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17</xdr:row>
      <xdr:rowOff>38100</xdr:rowOff>
    </xdr:from>
    <xdr:to>
      <xdr:col>7</xdr:col>
      <xdr:colOff>238125</xdr:colOff>
      <xdr:row>18</xdr:row>
      <xdr:rowOff>19050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31146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18</xdr:row>
      <xdr:rowOff>47625</xdr:rowOff>
    </xdr:from>
    <xdr:to>
      <xdr:col>7</xdr:col>
      <xdr:colOff>228600</xdr:colOff>
      <xdr:row>19</xdr:row>
      <xdr:rowOff>9525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33875" y="33337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26</xdr:row>
      <xdr:rowOff>28575</xdr:rowOff>
    </xdr:from>
    <xdr:to>
      <xdr:col>7</xdr:col>
      <xdr:colOff>228600</xdr:colOff>
      <xdr:row>27</xdr:row>
      <xdr:rowOff>9525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24350" y="49911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27</xdr:row>
      <xdr:rowOff>38100</xdr:rowOff>
    </xdr:from>
    <xdr:to>
      <xdr:col>7</xdr:col>
      <xdr:colOff>228600</xdr:colOff>
      <xdr:row>28</xdr:row>
      <xdr:rowOff>19050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24350" y="52101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28</xdr:row>
      <xdr:rowOff>28575</xdr:rowOff>
    </xdr:from>
    <xdr:to>
      <xdr:col>7</xdr:col>
      <xdr:colOff>228600</xdr:colOff>
      <xdr:row>29</xdr:row>
      <xdr:rowOff>9525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24350" y="54102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31</xdr:row>
      <xdr:rowOff>19050</xdr:rowOff>
    </xdr:from>
    <xdr:to>
      <xdr:col>7</xdr:col>
      <xdr:colOff>219075</xdr:colOff>
      <xdr:row>32</xdr:row>
      <xdr:rowOff>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14825" y="60293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32</xdr:row>
      <xdr:rowOff>0</xdr:rowOff>
    </xdr:from>
    <xdr:to>
      <xdr:col>7</xdr:col>
      <xdr:colOff>219075</xdr:colOff>
      <xdr:row>32</xdr:row>
      <xdr:rowOff>142875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14825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33</xdr:row>
      <xdr:rowOff>9525</xdr:rowOff>
    </xdr:from>
    <xdr:to>
      <xdr:col>7</xdr:col>
      <xdr:colOff>209550</xdr:colOff>
      <xdr:row>33</xdr:row>
      <xdr:rowOff>142875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05300" y="6438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21</xdr:row>
      <xdr:rowOff>38100</xdr:rowOff>
    </xdr:from>
    <xdr:to>
      <xdr:col>7</xdr:col>
      <xdr:colOff>247650</xdr:colOff>
      <xdr:row>22</xdr:row>
      <xdr:rowOff>19050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395287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22</xdr:row>
      <xdr:rowOff>28575</xdr:rowOff>
    </xdr:from>
    <xdr:to>
      <xdr:col>7</xdr:col>
      <xdr:colOff>228600</xdr:colOff>
      <xdr:row>23</xdr:row>
      <xdr:rowOff>9525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33875" y="415290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85725</xdr:colOff>
      <xdr:row>23</xdr:row>
      <xdr:rowOff>47625</xdr:rowOff>
    </xdr:from>
    <xdr:to>
      <xdr:col>7</xdr:col>
      <xdr:colOff>219075</xdr:colOff>
      <xdr:row>24</xdr:row>
      <xdr:rowOff>9525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24350" y="43815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36</xdr:row>
      <xdr:rowOff>38100</xdr:rowOff>
    </xdr:from>
    <xdr:to>
      <xdr:col>7</xdr:col>
      <xdr:colOff>209550</xdr:colOff>
      <xdr:row>37</xdr:row>
      <xdr:rowOff>19050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05300" y="7096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37</xdr:row>
      <xdr:rowOff>38100</xdr:rowOff>
    </xdr:from>
    <xdr:to>
      <xdr:col>7</xdr:col>
      <xdr:colOff>209550</xdr:colOff>
      <xdr:row>38</xdr:row>
      <xdr:rowOff>19050</xdr:rowOff>
    </xdr:to>
    <xdr:pic>
      <xdr:nvPicPr>
        <xdr:cNvPr id="17" name="Option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05300" y="73056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38</xdr:row>
      <xdr:rowOff>38100</xdr:rowOff>
    </xdr:from>
    <xdr:to>
      <xdr:col>7</xdr:col>
      <xdr:colOff>209550</xdr:colOff>
      <xdr:row>39</xdr:row>
      <xdr:rowOff>19050</xdr:rowOff>
    </xdr:to>
    <xdr:pic>
      <xdr:nvPicPr>
        <xdr:cNvPr id="18" name="Option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05300" y="75152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39</xdr:row>
      <xdr:rowOff>38100</xdr:rowOff>
    </xdr:from>
    <xdr:to>
      <xdr:col>7</xdr:col>
      <xdr:colOff>209550</xdr:colOff>
      <xdr:row>40</xdr:row>
      <xdr:rowOff>19050</xdr:rowOff>
    </xdr:to>
    <xdr:pic>
      <xdr:nvPicPr>
        <xdr:cNvPr id="19" name="OptionButton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05300" y="77247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59</xdr:row>
      <xdr:rowOff>28575</xdr:rowOff>
    </xdr:from>
    <xdr:to>
      <xdr:col>1</xdr:col>
      <xdr:colOff>257175</xdr:colOff>
      <xdr:row>60</xdr:row>
      <xdr:rowOff>0</xdr:rowOff>
    </xdr:to>
    <xdr:pic>
      <xdr:nvPicPr>
        <xdr:cNvPr id="20" name="OptionButton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14325" y="119062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60</xdr:row>
      <xdr:rowOff>28575</xdr:rowOff>
    </xdr:from>
    <xdr:to>
      <xdr:col>1</xdr:col>
      <xdr:colOff>257175</xdr:colOff>
      <xdr:row>61</xdr:row>
      <xdr:rowOff>9525</xdr:rowOff>
    </xdr:to>
    <xdr:pic>
      <xdr:nvPicPr>
        <xdr:cNvPr id="21" name="OptionButton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4325" y="1211580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48</xdr:row>
      <xdr:rowOff>9525</xdr:rowOff>
    </xdr:from>
    <xdr:to>
      <xdr:col>7</xdr:col>
      <xdr:colOff>247650</xdr:colOff>
      <xdr:row>48</xdr:row>
      <xdr:rowOff>142875</xdr:rowOff>
    </xdr:to>
    <xdr:pic>
      <xdr:nvPicPr>
        <xdr:cNvPr id="22" name="OptionButton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43400" y="9582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49</xdr:row>
      <xdr:rowOff>28575</xdr:rowOff>
    </xdr:from>
    <xdr:to>
      <xdr:col>7</xdr:col>
      <xdr:colOff>247650</xdr:colOff>
      <xdr:row>50</xdr:row>
      <xdr:rowOff>9525</xdr:rowOff>
    </xdr:to>
    <xdr:pic>
      <xdr:nvPicPr>
        <xdr:cNvPr id="23" name="OptionButton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343400" y="98107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5305425</xdr:colOff>
      <xdr:row>6</xdr:row>
      <xdr:rowOff>47625</xdr:rowOff>
    </xdr:to>
    <xdr:pic>
      <xdr:nvPicPr>
        <xdr:cNvPr id="1" name="3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8:AG74"/>
  <sheetViews>
    <sheetView showZeros="0" tabSelected="1" zoomScalePageLayoutView="0" workbookViewId="0" topLeftCell="A7">
      <selection activeCell="F48" sqref="F48"/>
    </sheetView>
  </sheetViews>
  <sheetFormatPr defaultColWidth="11.421875" defaultRowHeight="12.75"/>
  <cols>
    <col min="1" max="1" width="2.8515625" style="7" customWidth="1"/>
    <col min="2" max="2" width="5.00390625" style="7" customWidth="1"/>
    <col min="3" max="3" width="24.57421875" style="7" customWidth="1"/>
    <col min="4" max="4" width="11.00390625" style="8" customWidth="1"/>
    <col min="5" max="5" width="6.57421875" style="8" customWidth="1"/>
    <col min="6" max="6" width="7.00390625" style="7" customWidth="1"/>
    <col min="7" max="7" width="6.57421875" style="9" customWidth="1"/>
    <col min="8" max="8" width="4.140625" style="7" customWidth="1"/>
    <col min="9" max="9" width="10.7109375" style="7" customWidth="1"/>
    <col min="10" max="10" width="24.00390625" style="7" customWidth="1"/>
    <col min="11" max="12" width="5.7109375" style="7" customWidth="1"/>
    <col min="13" max="13" width="15.7109375" style="10" hidden="1" customWidth="1"/>
    <col min="14" max="14" width="7.57421875" style="10" hidden="1" customWidth="1"/>
    <col min="15" max="15" width="8.140625" style="10" hidden="1" customWidth="1"/>
    <col min="16" max="16" width="10.421875" style="10" hidden="1" customWidth="1"/>
    <col min="17" max="17" width="7.140625" style="10" hidden="1" customWidth="1"/>
    <col min="18" max="18" width="10.421875" style="10" customWidth="1"/>
    <col min="19" max="19" width="9.57421875" style="10" customWidth="1"/>
    <col min="20" max="29" width="11.421875" style="10" customWidth="1"/>
    <col min="30" max="30" width="11.421875" style="11" hidden="1" customWidth="1"/>
    <col min="31" max="41" width="11.421875" style="10" customWidth="1"/>
    <col min="42" max="16384" width="11.57421875" style="7" customWidth="1"/>
  </cols>
  <sheetData>
    <row r="1" ht="14.25"/>
    <row r="2" ht="12" customHeight="1"/>
    <row r="3" ht="13.5" customHeight="1"/>
    <row r="4" ht="12" customHeight="1"/>
    <row r="5" ht="14.25"/>
    <row r="6" ht="11.25" customHeight="1"/>
    <row r="7" ht="12" customHeight="1"/>
    <row r="8" spans="1:11" ht="14.25">
      <c r="A8" s="12"/>
      <c r="B8" s="13"/>
      <c r="C8" s="13"/>
      <c r="D8" s="14"/>
      <c r="E8" s="14"/>
      <c r="F8" s="13"/>
      <c r="G8" s="13"/>
      <c r="H8" s="13"/>
      <c r="I8" s="13"/>
      <c r="J8" s="13"/>
      <c r="K8" s="15"/>
    </row>
    <row r="9" spans="1:27" ht="12.75" customHeight="1">
      <c r="A9" s="16"/>
      <c r="B9" s="17"/>
      <c r="C9" s="18" t="s">
        <v>13</v>
      </c>
      <c r="D9" s="19" t="s">
        <v>23</v>
      </c>
      <c r="E9" s="20"/>
      <c r="F9" s="21"/>
      <c r="G9" s="21"/>
      <c r="H9" s="17"/>
      <c r="I9" s="17"/>
      <c r="J9" s="17"/>
      <c r="K9" s="22"/>
      <c r="M9" s="23" t="s">
        <v>108</v>
      </c>
      <c r="N9" s="24"/>
      <c r="AA9" s="25"/>
    </row>
    <row r="10" spans="1:26" ht="12.75" customHeight="1">
      <c r="A10" s="16"/>
      <c r="B10" s="17"/>
      <c r="C10" s="18" t="s">
        <v>14</v>
      </c>
      <c r="D10" s="19" t="s">
        <v>67</v>
      </c>
      <c r="E10" s="20"/>
      <c r="F10" s="19"/>
      <c r="G10" s="19"/>
      <c r="H10" s="17"/>
      <c r="I10" s="17"/>
      <c r="J10" s="17"/>
      <c r="K10" s="26"/>
      <c r="V10" s="25"/>
      <c r="W10" s="25"/>
      <c r="Y10" s="25"/>
      <c r="Z10" s="25"/>
    </row>
    <row r="11" spans="1:30" ht="14.25">
      <c r="A11" s="16"/>
      <c r="B11" s="17"/>
      <c r="C11" s="17"/>
      <c r="D11" s="20"/>
      <c r="E11" s="20"/>
      <c r="F11" s="17"/>
      <c r="G11" s="17"/>
      <c r="H11" s="27"/>
      <c r="I11" s="17"/>
      <c r="J11" s="17"/>
      <c r="K11" s="26"/>
      <c r="V11" s="25"/>
      <c r="W11" s="25"/>
      <c r="Y11" s="25"/>
      <c r="Z11" s="25"/>
      <c r="AA11" s="25"/>
      <c r="AB11" s="25"/>
      <c r="AD11" s="28" t="b">
        <v>0</v>
      </c>
    </row>
    <row r="12" spans="1:30" ht="16.5" customHeight="1">
      <c r="A12" s="16"/>
      <c r="B12" s="29" t="s">
        <v>22</v>
      </c>
      <c r="C12" s="30"/>
      <c r="D12" s="31">
        <f>IF(AD16=TRUE,J18,IF(AD17=TRUE,J19))</f>
        <v>18</v>
      </c>
      <c r="E12" s="32" t="s">
        <v>24</v>
      </c>
      <c r="F12" s="33"/>
      <c r="G12" s="34"/>
      <c r="H12" s="27"/>
      <c r="I12" s="35" t="s">
        <v>15</v>
      </c>
      <c r="J12" s="36" t="s">
        <v>31</v>
      </c>
      <c r="K12" s="37"/>
      <c r="AD12" s="28" t="b">
        <v>1</v>
      </c>
    </row>
    <row r="13" spans="1:33" ht="16.5" customHeight="1">
      <c r="A13" s="16"/>
      <c r="B13" s="38" t="s">
        <v>26</v>
      </c>
      <c r="C13" s="39"/>
      <c r="D13" s="40">
        <f>IF(AD20=TRUE,J22,IF(AD21=TRUE,J23,IF(AD22=TRUE,J24)))</f>
        <v>3</v>
      </c>
      <c r="E13" s="41" t="s">
        <v>27</v>
      </c>
      <c r="F13" s="42"/>
      <c r="G13" s="43"/>
      <c r="H13" s="44"/>
      <c r="I13" s="35" t="s">
        <v>16</v>
      </c>
      <c r="J13" s="45">
        <v>40</v>
      </c>
      <c r="K13" s="37"/>
      <c r="AD13" s="11" t="b">
        <v>0</v>
      </c>
      <c r="AG13" s="46"/>
    </row>
    <row r="14" spans="1:21" ht="16.5" customHeight="1">
      <c r="A14" s="16"/>
      <c r="B14" s="38" t="s">
        <v>28</v>
      </c>
      <c r="C14" s="39"/>
      <c r="D14" s="47">
        <f>F14*D13</f>
        <v>750</v>
      </c>
      <c r="E14" s="41" t="s">
        <v>29</v>
      </c>
      <c r="F14" s="48">
        <v>250</v>
      </c>
      <c r="G14" s="49" t="s">
        <v>109</v>
      </c>
      <c r="H14" s="44"/>
      <c r="I14" s="35" t="s">
        <v>17</v>
      </c>
      <c r="J14" s="45">
        <v>60</v>
      </c>
      <c r="K14" s="37"/>
      <c r="U14" s="25"/>
    </row>
    <row r="15" spans="1:11" ht="16.5" customHeight="1">
      <c r="A15" s="16"/>
      <c r="B15" s="50"/>
      <c r="C15" s="51"/>
      <c r="D15" s="52"/>
      <c r="E15" s="53"/>
      <c r="F15" s="42"/>
      <c r="G15" s="43"/>
      <c r="H15" s="44"/>
      <c r="I15" s="35" t="s">
        <v>18</v>
      </c>
      <c r="J15" s="45">
        <v>80</v>
      </c>
      <c r="K15" s="37"/>
    </row>
    <row r="16" spans="1:30" ht="16.5" customHeight="1">
      <c r="A16" s="16"/>
      <c r="B16" s="38" t="s">
        <v>30</v>
      </c>
      <c r="C16" s="39"/>
      <c r="D16" s="52">
        <f>IF(AD11=TRUE,J13,IF(AD12=TRUE,J14,IF(AD13=TRUE,J15)))</f>
        <v>60</v>
      </c>
      <c r="E16" s="41" t="s">
        <v>32</v>
      </c>
      <c r="F16" s="42"/>
      <c r="G16" s="54"/>
      <c r="H16" s="27"/>
      <c r="I16" s="17"/>
      <c r="J16" s="17"/>
      <c r="K16" s="22"/>
      <c r="T16" s="25"/>
      <c r="AD16" s="11" t="b">
        <v>1</v>
      </c>
    </row>
    <row r="17" spans="1:33" ht="16.5" customHeight="1">
      <c r="A17" s="16"/>
      <c r="B17" s="38" t="s">
        <v>96</v>
      </c>
      <c r="C17" s="39"/>
      <c r="D17" s="52">
        <v>0.5</v>
      </c>
      <c r="E17" s="41"/>
      <c r="F17" s="42"/>
      <c r="G17" s="54"/>
      <c r="H17" s="27"/>
      <c r="I17" s="55" t="s">
        <v>25</v>
      </c>
      <c r="J17" s="56"/>
      <c r="K17" s="37"/>
      <c r="T17" s="25"/>
      <c r="AD17" s="11" t="b">
        <v>0</v>
      </c>
      <c r="AG17" s="46"/>
    </row>
    <row r="18" spans="1:20" ht="16.5" customHeight="1">
      <c r="A18" s="16"/>
      <c r="B18" s="38" t="s">
        <v>33</v>
      </c>
      <c r="C18" s="39"/>
      <c r="D18" s="47">
        <f>D16*D17*D12*0.1*D13*10</f>
        <v>1620</v>
      </c>
      <c r="E18" s="41" t="s">
        <v>34</v>
      </c>
      <c r="F18" s="42"/>
      <c r="G18" s="54"/>
      <c r="H18" s="57"/>
      <c r="I18" s="35" t="s">
        <v>19</v>
      </c>
      <c r="J18" s="45">
        <v>18</v>
      </c>
      <c r="K18" s="37"/>
      <c r="M18" s="58" t="s">
        <v>80</v>
      </c>
      <c r="N18" s="59" t="s">
        <v>79</v>
      </c>
      <c r="O18" s="25" t="s">
        <v>86</v>
      </c>
      <c r="P18" s="25" t="s">
        <v>93</v>
      </c>
      <c r="Q18" s="25" t="s">
        <v>98</v>
      </c>
      <c r="R18" s="10" t="s">
        <v>94</v>
      </c>
      <c r="S18" s="25"/>
      <c r="T18" s="25"/>
    </row>
    <row r="19" spans="1:18" ht="16.5" customHeight="1">
      <c r="A19" s="16"/>
      <c r="B19" s="38" t="s">
        <v>35</v>
      </c>
      <c r="C19" s="39"/>
      <c r="D19" s="52">
        <v>9</v>
      </c>
      <c r="E19" s="41" t="s">
        <v>36</v>
      </c>
      <c r="F19" s="42"/>
      <c r="G19" s="54"/>
      <c r="H19" s="57"/>
      <c r="I19" s="35" t="s">
        <v>21</v>
      </c>
      <c r="J19" s="45">
        <v>22</v>
      </c>
      <c r="K19" s="37"/>
      <c r="M19" s="58"/>
      <c r="N19" s="59"/>
      <c r="O19" s="25" t="str">
        <f>CONCATENATE(D$12," cm")</f>
        <v>18 cm</v>
      </c>
      <c r="P19" s="60">
        <f>(91+5.4*D$19)*13*D$12*0.65/10</f>
        <v>2123.316</v>
      </c>
      <c r="Q19" s="61">
        <f>D$19</f>
        <v>9</v>
      </c>
      <c r="R19" s="62">
        <f>P19*10*D$19/3600</f>
        <v>53.082899999999995</v>
      </c>
    </row>
    <row r="20" spans="1:30" ht="16.5" customHeight="1">
      <c r="A20" s="16"/>
      <c r="B20" s="38" t="s">
        <v>37</v>
      </c>
      <c r="C20" s="39"/>
      <c r="D20" s="40">
        <f>D18*10*D19/3600</f>
        <v>40.5</v>
      </c>
      <c r="E20" s="41" t="s">
        <v>1</v>
      </c>
      <c r="F20" s="42"/>
      <c r="G20" s="54"/>
      <c r="H20" s="27"/>
      <c r="I20" s="17"/>
      <c r="J20" s="20"/>
      <c r="K20" s="37"/>
      <c r="L20" s="63"/>
      <c r="M20" s="58"/>
      <c r="N20" s="59"/>
      <c r="O20" s="25" t="s">
        <v>81</v>
      </c>
      <c r="P20" s="60"/>
      <c r="Q20" s="61"/>
      <c r="R20" s="62"/>
      <c r="AD20" s="11" t="b">
        <v>1</v>
      </c>
    </row>
    <row r="21" spans="1:30" ht="16.5" customHeight="1">
      <c r="A21" s="16"/>
      <c r="B21" s="50"/>
      <c r="C21" s="51"/>
      <c r="D21" s="40">
        <f>D20*1.36</f>
        <v>55.080000000000005</v>
      </c>
      <c r="E21" s="41" t="s">
        <v>4</v>
      </c>
      <c r="F21" s="42"/>
      <c r="G21" s="54"/>
      <c r="H21" s="27"/>
      <c r="I21" s="55" t="s">
        <v>26</v>
      </c>
      <c r="J21" s="56"/>
      <c r="K21" s="37"/>
      <c r="L21" s="63"/>
      <c r="M21" s="58"/>
      <c r="N21" s="59" t="s">
        <v>77</v>
      </c>
      <c r="O21" s="25" t="s">
        <v>86</v>
      </c>
      <c r="P21" s="64" t="s">
        <v>93</v>
      </c>
      <c r="Q21" s="65" t="s">
        <v>98</v>
      </c>
      <c r="R21" s="66" t="s">
        <v>94</v>
      </c>
      <c r="AD21" s="11" t="b">
        <v>0</v>
      </c>
    </row>
    <row r="22" spans="1:30" ht="16.5" customHeight="1">
      <c r="A22" s="16"/>
      <c r="B22" s="38" t="s">
        <v>99</v>
      </c>
      <c r="C22" s="39"/>
      <c r="D22" s="40">
        <f>D21/0.75</f>
        <v>73.44000000000001</v>
      </c>
      <c r="E22" s="41" t="s">
        <v>4</v>
      </c>
      <c r="F22" s="42"/>
      <c r="G22" s="54"/>
      <c r="H22" s="57"/>
      <c r="I22" s="35" t="s">
        <v>19</v>
      </c>
      <c r="J22" s="67">
        <v>3</v>
      </c>
      <c r="K22" s="37"/>
      <c r="L22" s="63"/>
      <c r="M22" s="58"/>
      <c r="N22" s="59"/>
      <c r="O22" s="25" t="str">
        <f>CONCATENATE(D$12," cm")</f>
        <v>18 cm</v>
      </c>
      <c r="P22" s="60">
        <f>(91+5.4*D$19)*13*D$12*0.85/10</f>
        <v>2776.644</v>
      </c>
      <c r="Q22" s="61">
        <f>D$19</f>
        <v>9</v>
      </c>
      <c r="R22" s="62">
        <f>P22*10*D$19/3600</f>
        <v>69.4161</v>
      </c>
      <c r="V22" s="25"/>
      <c r="W22" s="25"/>
      <c r="X22" s="25"/>
      <c r="Y22" s="25"/>
      <c r="Z22" s="25"/>
      <c r="AA22" s="25"/>
      <c r="AB22" s="25"/>
      <c r="AD22" s="11" t="b">
        <v>0</v>
      </c>
    </row>
    <row r="23" spans="1:18" ht="16.5" customHeight="1">
      <c r="A23" s="16"/>
      <c r="B23" s="50"/>
      <c r="C23" s="51"/>
      <c r="D23" s="40"/>
      <c r="E23" s="41"/>
      <c r="F23" s="42"/>
      <c r="G23" s="54"/>
      <c r="H23" s="57"/>
      <c r="I23" s="35" t="s">
        <v>20</v>
      </c>
      <c r="J23" s="67">
        <v>4</v>
      </c>
      <c r="K23" s="37"/>
      <c r="L23" s="63"/>
      <c r="M23" s="58"/>
      <c r="N23" s="59"/>
      <c r="O23" s="25" t="s">
        <v>81</v>
      </c>
      <c r="P23" s="60"/>
      <c r="Q23" s="61"/>
      <c r="R23" s="62"/>
    </row>
    <row r="24" spans="1:18" ht="16.5" customHeight="1">
      <c r="A24" s="16"/>
      <c r="B24" s="38" t="s">
        <v>87</v>
      </c>
      <c r="C24" s="39"/>
      <c r="D24" s="68">
        <f>10/(D19*D13)</f>
        <v>0.37037037037037035</v>
      </c>
      <c r="E24" s="41" t="s">
        <v>38</v>
      </c>
      <c r="F24" s="42"/>
      <c r="G24" s="54"/>
      <c r="H24" s="57"/>
      <c r="I24" s="35" t="s">
        <v>21</v>
      </c>
      <c r="J24" s="67">
        <v>5</v>
      </c>
      <c r="K24" s="37"/>
      <c r="M24" s="58"/>
      <c r="N24" s="69" t="s">
        <v>78</v>
      </c>
      <c r="O24" s="25" t="s">
        <v>86</v>
      </c>
      <c r="P24" s="64" t="s">
        <v>93</v>
      </c>
      <c r="Q24" s="65" t="s">
        <v>98</v>
      </c>
      <c r="R24" s="66" t="s">
        <v>94</v>
      </c>
    </row>
    <row r="25" spans="1:30" ht="16.5" customHeight="1">
      <c r="A25" s="16"/>
      <c r="B25" s="38" t="s">
        <v>39</v>
      </c>
      <c r="C25" s="39"/>
      <c r="D25" s="52">
        <f>IF(AD25=TRUE,J27,IF(AD26=TRUE,J28,IF(AD27=TRUE,J29)))</f>
        <v>0.85</v>
      </c>
      <c r="E25" s="53"/>
      <c r="F25" s="42"/>
      <c r="G25" s="54"/>
      <c r="H25" s="27"/>
      <c r="I25" s="17"/>
      <c r="J25" s="17"/>
      <c r="K25" s="22"/>
      <c r="L25" s="63"/>
      <c r="M25" s="58"/>
      <c r="N25" s="69"/>
      <c r="O25" s="25" t="str">
        <f>CONCATENATE(D$12," cm")</f>
        <v>18 cm</v>
      </c>
      <c r="P25" s="60">
        <f>(91+5.4*D$19)*13*D$12*1/10</f>
        <v>3266.64</v>
      </c>
      <c r="Q25" s="61">
        <f>D$19</f>
        <v>9</v>
      </c>
      <c r="R25" s="62">
        <f>P25*10*D$19/3600</f>
        <v>81.666</v>
      </c>
      <c r="U25" s="25"/>
      <c r="AD25" s="11" t="b">
        <v>0</v>
      </c>
    </row>
    <row r="26" spans="1:30" ht="16.5" customHeight="1">
      <c r="A26" s="16"/>
      <c r="B26" s="70" t="s">
        <v>88</v>
      </c>
      <c r="C26" s="71"/>
      <c r="D26" s="72">
        <f>D24/D25</f>
        <v>0.43572984749455335</v>
      </c>
      <c r="E26" s="73" t="s">
        <v>38</v>
      </c>
      <c r="F26" s="42"/>
      <c r="G26" s="54"/>
      <c r="H26" s="27"/>
      <c r="I26" s="55" t="s">
        <v>47</v>
      </c>
      <c r="J26" s="56"/>
      <c r="K26" s="37"/>
      <c r="L26" s="63"/>
      <c r="M26" s="58"/>
      <c r="N26" s="69"/>
      <c r="O26" s="25" t="s">
        <v>81</v>
      </c>
      <c r="P26" s="60"/>
      <c r="Q26" s="61"/>
      <c r="R26" s="62"/>
      <c r="AD26" s="11" t="b">
        <v>0</v>
      </c>
    </row>
    <row r="27" spans="1:30" ht="16.5" customHeight="1">
      <c r="A27" s="16"/>
      <c r="B27" s="50"/>
      <c r="C27" s="74"/>
      <c r="D27" s="72">
        <f>1/D26</f>
        <v>2.2950000000000004</v>
      </c>
      <c r="E27" s="73" t="s">
        <v>40</v>
      </c>
      <c r="F27" s="42"/>
      <c r="G27" s="54"/>
      <c r="H27" s="57"/>
      <c r="I27" s="35" t="s">
        <v>19</v>
      </c>
      <c r="J27" s="75">
        <v>0.65</v>
      </c>
      <c r="K27" s="37"/>
      <c r="L27" s="63"/>
      <c r="P27" s="76"/>
      <c r="Q27" s="77"/>
      <c r="R27" s="66"/>
      <c r="AD27" s="11" t="b">
        <v>1</v>
      </c>
    </row>
    <row r="28" spans="1:18" ht="16.5" customHeight="1">
      <c r="A28" s="16"/>
      <c r="B28" s="50"/>
      <c r="C28" s="51"/>
      <c r="D28" s="52"/>
      <c r="E28" s="53"/>
      <c r="F28" s="42"/>
      <c r="G28" s="54"/>
      <c r="H28" s="57"/>
      <c r="I28" s="35" t="s">
        <v>20</v>
      </c>
      <c r="J28" s="75">
        <v>0.75</v>
      </c>
      <c r="K28" s="37"/>
      <c r="L28" s="63"/>
      <c r="M28" s="58" t="s">
        <v>80</v>
      </c>
      <c r="N28" s="59" t="s">
        <v>79</v>
      </c>
      <c r="O28" s="25" t="s">
        <v>92</v>
      </c>
      <c r="P28" s="64" t="s">
        <v>93</v>
      </c>
      <c r="Q28" s="65" t="s">
        <v>98</v>
      </c>
      <c r="R28" s="66" t="s">
        <v>94</v>
      </c>
    </row>
    <row r="29" spans="1:20" ht="16.5" customHeight="1">
      <c r="A29" s="16"/>
      <c r="B29" s="38" t="s">
        <v>69</v>
      </c>
      <c r="C29" s="39"/>
      <c r="D29" s="52">
        <f>IF(AD31=TRUE,J32,IF(AD32=TRUE,J33,IF(AD33=TRUE,J34)))</f>
        <v>75</v>
      </c>
      <c r="E29" s="41" t="s">
        <v>3</v>
      </c>
      <c r="F29" s="42"/>
      <c r="G29" s="54"/>
      <c r="H29" s="57"/>
      <c r="I29" s="35" t="s">
        <v>21</v>
      </c>
      <c r="J29" s="75">
        <v>0.85</v>
      </c>
      <c r="K29" s="37"/>
      <c r="L29" s="63"/>
      <c r="M29" s="58"/>
      <c r="N29" s="59"/>
      <c r="O29" s="25" t="str">
        <f>CONCATENATE(D$12," cm")</f>
        <v>18 cm</v>
      </c>
      <c r="P29" s="60">
        <f>(91+5.4*D$19)*7*D$12*0.65/10</f>
        <v>1143.324</v>
      </c>
      <c r="Q29" s="61">
        <f>D$19</f>
        <v>9</v>
      </c>
      <c r="R29" s="62">
        <f>P29*10*D$19/3600</f>
        <v>28.583100000000005</v>
      </c>
      <c r="S29" s="25"/>
      <c r="T29" s="25"/>
    </row>
    <row r="30" spans="1:20" ht="16.5" customHeight="1">
      <c r="A30" s="16"/>
      <c r="B30" s="38" t="s">
        <v>42</v>
      </c>
      <c r="C30" s="39"/>
      <c r="D30" s="40">
        <f>D22*100/D29</f>
        <v>97.92000000000002</v>
      </c>
      <c r="E30" s="41" t="s">
        <v>4</v>
      </c>
      <c r="F30" s="42"/>
      <c r="G30" s="54"/>
      <c r="H30" s="27"/>
      <c r="I30" s="17"/>
      <c r="J30" s="17"/>
      <c r="K30" s="22"/>
      <c r="L30" s="63"/>
      <c r="M30" s="58"/>
      <c r="N30" s="59"/>
      <c r="O30" s="25" t="s">
        <v>81</v>
      </c>
      <c r="P30" s="60"/>
      <c r="Q30" s="61"/>
      <c r="R30" s="62"/>
      <c r="T30" s="78"/>
    </row>
    <row r="31" spans="1:30" ht="16.5" customHeight="1">
      <c r="A31" s="16"/>
      <c r="B31" s="50"/>
      <c r="C31" s="51"/>
      <c r="D31" s="52"/>
      <c r="E31" s="53"/>
      <c r="F31" s="42"/>
      <c r="G31" s="54"/>
      <c r="H31" s="27"/>
      <c r="I31" s="55" t="s">
        <v>41</v>
      </c>
      <c r="J31" s="56"/>
      <c r="K31" s="37"/>
      <c r="L31" s="63"/>
      <c r="M31" s="58"/>
      <c r="N31" s="59" t="s">
        <v>77</v>
      </c>
      <c r="O31" s="25" t="s">
        <v>92</v>
      </c>
      <c r="P31" s="64" t="s">
        <v>93</v>
      </c>
      <c r="Q31" s="65" t="s">
        <v>98</v>
      </c>
      <c r="R31" s="66" t="s">
        <v>94</v>
      </c>
      <c r="T31" s="78"/>
      <c r="U31" s="78"/>
      <c r="V31" s="78"/>
      <c r="W31" s="78"/>
      <c r="AD31" s="11" t="b">
        <v>0</v>
      </c>
    </row>
    <row r="32" spans="1:30" ht="16.5" customHeight="1">
      <c r="A32" s="16"/>
      <c r="B32" s="38" t="s">
        <v>101</v>
      </c>
      <c r="C32" s="39"/>
      <c r="D32" s="52" t="str">
        <f>IF(AD37=TRUE,"Pequeño",IF(AD38=TRUE,"Mediano",IF(AD39=TRUE,"Grande",IF(AD40=TRUE,"Muy Grande"))))</f>
        <v>Mediano</v>
      </c>
      <c r="E32" s="41"/>
      <c r="F32" s="42"/>
      <c r="G32" s="42"/>
      <c r="H32" s="57"/>
      <c r="I32" s="35" t="s">
        <v>82</v>
      </c>
      <c r="J32" s="75">
        <v>25</v>
      </c>
      <c r="K32" s="37"/>
      <c r="L32" s="63"/>
      <c r="M32" s="58"/>
      <c r="N32" s="59"/>
      <c r="O32" s="25" t="str">
        <f>CONCATENATE(D$12," cm")</f>
        <v>18 cm</v>
      </c>
      <c r="P32" s="60">
        <f>(91+5.4*D$19)*7*D$12*0.85/10</f>
        <v>1495.1159999999998</v>
      </c>
      <c r="Q32" s="61">
        <f>D$19</f>
        <v>9</v>
      </c>
      <c r="R32" s="62">
        <f>P32*10*D$19/3600</f>
        <v>37.37789999999999</v>
      </c>
      <c r="T32" s="79"/>
      <c r="U32" s="79"/>
      <c r="V32" s="79"/>
      <c r="W32" s="79"/>
      <c r="X32" s="79"/>
      <c r="Y32" s="79"/>
      <c r="AD32" s="11" t="b">
        <v>0</v>
      </c>
    </row>
    <row r="33" spans="1:30" ht="16.5" customHeight="1">
      <c r="A33" s="16"/>
      <c r="B33" s="80" t="s">
        <v>102</v>
      </c>
      <c r="C33" s="81"/>
      <c r="D33" s="82">
        <f>IF(AD37=TRUE,J37,IF(AD38=TRUE,J38,IF(AD39=TRUE,J39,IF(AD40=TRUE,J40,""))))</f>
        <v>120</v>
      </c>
      <c r="E33" s="83" t="s">
        <v>4</v>
      </c>
      <c r="F33" s="84"/>
      <c r="G33" s="85"/>
      <c r="H33" s="57"/>
      <c r="I33" s="35" t="s">
        <v>17</v>
      </c>
      <c r="J33" s="75">
        <v>50</v>
      </c>
      <c r="K33" s="37"/>
      <c r="M33" s="58"/>
      <c r="N33" s="59"/>
      <c r="O33" s="25" t="s">
        <v>81</v>
      </c>
      <c r="P33" s="60"/>
      <c r="Q33" s="61"/>
      <c r="R33" s="62"/>
      <c r="T33" s="79"/>
      <c r="U33" s="79"/>
      <c r="V33" s="79"/>
      <c r="W33" s="79"/>
      <c r="X33" s="79"/>
      <c r="Y33" s="79"/>
      <c r="AD33" s="11" t="b">
        <v>1</v>
      </c>
    </row>
    <row r="34" spans="1:25" ht="16.5" customHeight="1">
      <c r="A34" s="16"/>
      <c r="B34" s="17"/>
      <c r="C34" s="17"/>
      <c r="D34" s="86"/>
      <c r="E34" s="20"/>
      <c r="F34" s="17"/>
      <c r="G34" s="17"/>
      <c r="H34" s="57"/>
      <c r="I34" s="35" t="s">
        <v>83</v>
      </c>
      <c r="J34" s="75">
        <v>75</v>
      </c>
      <c r="K34" s="37"/>
      <c r="L34" s="63"/>
      <c r="M34" s="58"/>
      <c r="N34" s="69" t="s">
        <v>78</v>
      </c>
      <c r="O34" s="25" t="s">
        <v>92</v>
      </c>
      <c r="P34" s="64" t="s">
        <v>93</v>
      </c>
      <c r="Q34" s="65" t="s">
        <v>98</v>
      </c>
      <c r="R34" s="66" t="s">
        <v>94</v>
      </c>
      <c r="T34" s="79"/>
      <c r="U34" s="79"/>
      <c r="V34" s="79"/>
      <c r="W34" s="79"/>
      <c r="X34" s="79"/>
      <c r="Y34" s="79"/>
    </row>
    <row r="35" spans="1:25" ht="16.5" customHeight="1">
      <c r="A35" s="16"/>
      <c r="B35" s="87" t="s">
        <v>84</v>
      </c>
      <c r="C35" s="88"/>
      <c r="D35" s="89"/>
      <c r="E35" s="90"/>
      <c r="F35" s="17"/>
      <c r="G35" s="17"/>
      <c r="H35" s="27"/>
      <c r="I35" s="17"/>
      <c r="J35" s="17"/>
      <c r="K35" s="22"/>
      <c r="L35" s="63"/>
      <c r="M35" s="58"/>
      <c r="N35" s="69"/>
      <c r="O35" s="25" t="str">
        <f>CONCATENATE(D$12," cm")</f>
        <v>18 cm</v>
      </c>
      <c r="P35" s="60">
        <f>(91+5.4*D$19)*7*D$12*1/10</f>
        <v>1758.9599999999998</v>
      </c>
      <c r="Q35" s="61">
        <f>D$19</f>
        <v>9</v>
      </c>
      <c r="R35" s="62">
        <f>P35*10*D$19/3600</f>
        <v>43.974</v>
      </c>
      <c r="T35" s="79"/>
      <c r="U35" s="79"/>
      <c r="V35" s="79"/>
      <c r="W35" s="79"/>
      <c r="X35" s="79"/>
      <c r="Y35" s="79"/>
    </row>
    <row r="36" spans="1:30" ht="16.5" customHeight="1">
      <c r="A36" s="16"/>
      <c r="B36" s="38" t="s">
        <v>9</v>
      </c>
      <c r="C36" s="39"/>
      <c r="D36" s="68">
        <f>IF(D29=J32,J44*D33/1.36,IF(D29=J33,J45*D33/1.36,IF(D29=J34,J46*D33/1.36)))</f>
        <v>18.26470588235294</v>
      </c>
      <c r="E36" s="49" t="s">
        <v>12</v>
      </c>
      <c r="F36" s="17"/>
      <c r="G36" s="17"/>
      <c r="H36" s="17"/>
      <c r="I36" s="91" t="s">
        <v>46</v>
      </c>
      <c r="J36" s="91"/>
      <c r="K36" s="37"/>
      <c r="L36" s="63"/>
      <c r="M36" s="58"/>
      <c r="N36" s="69"/>
      <c r="O36" s="25" t="s">
        <v>81</v>
      </c>
      <c r="P36" s="60"/>
      <c r="Q36" s="61"/>
      <c r="R36" s="62"/>
      <c r="T36" s="79"/>
      <c r="U36" s="79"/>
      <c r="V36" s="79"/>
      <c r="W36" s="79"/>
      <c r="X36" s="79"/>
      <c r="Y36" s="79"/>
      <c r="AD36" s="11" t="b">
        <v>0</v>
      </c>
    </row>
    <row r="37" spans="1:30" ht="16.5" customHeight="1">
      <c r="A37" s="16"/>
      <c r="B37" s="50"/>
      <c r="C37" s="51"/>
      <c r="D37" s="68">
        <f>D36*D26</f>
        <v>7.9584775086505175</v>
      </c>
      <c r="E37" s="49" t="s">
        <v>91</v>
      </c>
      <c r="F37" s="17"/>
      <c r="G37" s="17"/>
      <c r="H37" s="57"/>
      <c r="I37" s="92" t="s">
        <v>70</v>
      </c>
      <c r="J37" s="75">
        <v>90</v>
      </c>
      <c r="K37" s="37"/>
      <c r="L37" s="63"/>
      <c r="M37" s="25"/>
      <c r="T37" s="79"/>
      <c r="U37" s="79"/>
      <c r="V37" s="79"/>
      <c r="W37" s="79"/>
      <c r="X37" s="79"/>
      <c r="Y37" s="79"/>
      <c r="AD37" s="11" t="b">
        <v>0</v>
      </c>
    </row>
    <row r="38" spans="1:30" ht="16.5" customHeight="1">
      <c r="A38" s="16"/>
      <c r="B38" s="38" t="s">
        <v>50</v>
      </c>
      <c r="C38" s="39"/>
      <c r="D38" s="93">
        <f>D36*0.1/100</f>
        <v>0.01826470588235294</v>
      </c>
      <c r="E38" s="49" t="s">
        <v>12</v>
      </c>
      <c r="F38" s="17"/>
      <c r="G38" s="17"/>
      <c r="H38" s="57"/>
      <c r="I38" s="35" t="s">
        <v>43</v>
      </c>
      <c r="J38" s="75">
        <v>120</v>
      </c>
      <c r="K38" s="37"/>
      <c r="M38" s="94" t="s">
        <v>68</v>
      </c>
      <c r="N38" s="94"/>
      <c r="O38" s="94"/>
      <c r="P38" s="94"/>
      <c r="Q38" s="94"/>
      <c r="R38" s="94"/>
      <c r="S38" s="78"/>
      <c r="T38" s="79"/>
      <c r="U38" s="79"/>
      <c r="V38" s="79"/>
      <c r="W38" s="79"/>
      <c r="X38" s="79"/>
      <c r="Y38" s="79"/>
      <c r="AD38" s="11" t="b">
        <v>1</v>
      </c>
    </row>
    <row r="39" spans="1:30" ht="16.5" customHeight="1">
      <c r="A39" s="16"/>
      <c r="B39" s="50"/>
      <c r="C39" s="51"/>
      <c r="D39" s="93">
        <f>D37*0.1/100</f>
        <v>0.007958477508650518</v>
      </c>
      <c r="E39" s="49" t="s">
        <v>91</v>
      </c>
      <c r="F39" s="17"/>
      <c r="G39" s="17"/>
      <c r="H39" s="57"/>
      <c r="I39" s="35" t="s">
        <v>44</v>
      </c>
      <c r="J39" s="75">
        <v>150</v>
      </c>
      <c r="K39" s="37"/>
      <c r="M39" s="94"/>
      <c r="N39" s="94"/>
      <c r="O39" s="94"/>
      <c r="P39" s="94"/>
      <c r="Q39" s="94"/>
      <c r="R39" s="94"/>
      <c r="S39" s="78"/>
      <c r="T39" s="79"/>
      <c r="U39" s="79"/>
      <c r="V39" s="79"/>
      <c r="W39" s="79"/>
      <c r="X39" s="79"/>
      <c r="Y39" s="79"/>
      <c r="AD39" s="11" t="b">
        <v>0</v>
      </c>
    </row>
    <row r="40" spans="1:30" ht="16.5" customHeight="1" thickBot="1">
      <c r="A40" s="16"/>
      <c r="B40" s="95" t="s">
        <v>89</v>
      </c>
      <c r="C40" s="96"/>
      <c r="D40" s="97">
        <v>1</v>
      </c>
      <c r="E40" s="98" t="s">
        <v>6</v>
      </c>
      <c r="F40" s="17"/>
      <c r="G40" s="17"/>
      <c r="H40" s="57"/>
      <c r="I40" s="35" t="s">
        <v>45</v>
      </c>
      <c r="J40" s="75">
        <v>180</v>
      </c>
      <c r="K40" s="37"/>
      <c r="L40" s="63"/>
      <c r="M40" s="78"/>
      <c r="N40" s="78"/>
      <c r="O40" s="78"/>
      <c r="P40" s="78"/>
      <c r="AD40" s="11" t="b">
        <v>0</v>
      </c>
    </row>
    <row r="41" spans="1:15" ht="16.5" customHeight="1" thickTop="1">
      <c r="A41" s="16"/>
      <c r="B41" s="99" t="s">
        <v>90</v>
      </c>
      <c r="C41" s="100"/>
      <c r="D41" s="101">
        <f>D40*D36</f>
        <v>18.26470588235294</v>
      </c>
      <c r="E41" s="102" t="s">
        <v>62</v>
      </c>
      <c r="F41" s="17"/>
      <c r="G41" s="17"/>
      <c r="H41" s="27"/>
      <c r="I41" s="17"/>
      <c r="J41" s="17"/>
      <c r="K41" s="22"/>
      <c r="L41" s="63"/>
      <c r="M41" s="94" t="s">
        <v>112</v>
      </c>
      <c r="N41" s="94"/>
      <c r="O41" s="94"/>
    </row>
    <row r="42" spans="1:15" ht="16.5" customHeight="1">
      <c r="A42" s="16"/>
      <c r="B42" s="103"/>
      <c r="C42" s="104"/>
      <c r="D42" s="105">
        <f>D37*D40</f>
        <v>7.9584775086505175</v>
      </c>
      <c r="E42" s="106" t="s">
        <v>60</v>
      </c>
      <c r="F42" s="17"/>
      <c r="G42" s="17"/>
      <c r="H42" s="27"/>
      <c r="I42" s="91" t="s">
        <v>48</v>
      </c>
      <c r="J42" s="91"/>
      <c r="K42" s="37"/>
      <c r="L42" s="63"/>
      <c r="M42" s="107" t="s">
        <v>102</v>
      </c>
      <c r="N42" s="25">
        <f>D33</f>
        <v>120</v>
      </c>
      <c r="O42" s="10" t="s">
        <v>4</v>
      </c>
    </row>
    <row r="43" spans="1:20" ht="16.5" customHeight="1">
      <c r="A43" s="16"/>
      <c r="B43" s="108"/>
      <c r="C43" s="108"/>
      <c r="D43" s="109"/>
      <c r="E43" s="110"/>
      <c r="F43" s="17"/>
      <c r="G43" s="27"/>
      <c r="H43" s="27"/>
      <c r="I43" s="35" t="s">
        <v>49</v>
      </c>
      <c r="J43" s="36" t="s">
        <v>97</v>
      </c>
      <c r="K43" s="37"/>
      <c r="L43" s="63"/>
      <c r="M43" s="107"/>
      <c r="N43" s="111">
        <f>N42/1.36</f>
        <v>88.23529411764706</v>
      </c>
      <c r="O43" s="10" t="s">
        <v>1</v>
      </c>
      <c r="Q43" s="112" t="s">
        <v>113</v>
      </c>
      <c r="R43" s="112"/>
      <c r="S43" s="77"/>
      <c r="T43" s="77"/>
    </row>
    <row r="44" spans="1:20" ht="16.5" customHeight="1">
      <c r="A44" s="16"/>
      <c r="B44" s="87" t="s">
        <v>85</v>
      </c>
      <c r="C44" s="88"/>
      <c r="D44" s="89"/>
      <c r="E44" s="113"/>
      <c r="F44" s="114"/>
      <c r="G44" s="115"/>
      <c r="H44" s="27"/>
      <c r="I44" s="35" t="s">
        <v>19</v>
      </c>
      <c r="J44" s="116">
        <v>0.1</v>
      </c>
      <c r="K44" s="117"/>
      <c r="M44" s="118" t="s">
        <v>116</v>
      </c>
      <c r="N44" s="25">
        <f>+I60</f>
        <v>560</v>
      </c>
      <c r="O44" s="10" t="s">
        <v>7</v>
      </c>
      <c r="Q44" s="112"/>
      <c r="R44" s="112"/>
      <c r="S44" s="77"/>
      <c r="T44" s="77"/>
    </row>
    <row r="45" spans="1:20" ht="16.5" customHeight="1">
      <c r="A45" s="16"/>
      <c r="B45" s="38" t="s">
        <v>64</v>
      </c>
      <c r="C45" s="39"/>
      <c r="D45" s="52">
        <f>IF(AD51=TRUE,J49,J50)</f>
        <v>100</v>
      </c>
      <c r="E45" s="41" t="s">
        <v>61</v>
      </c>
      <c r="F45" s="42"/>
      <c r="G45" s="119"/>
      <c r="H45" s="27"/>
      <c r="I45" s="35" t="s">
        <v>20</v>
      </c>
      <c r="J45" s="116">
        <v>0.15</v>
      </c>
      <c r="K45" s="117"/>
      <c r="M45" s="118"/>
      <c r="N45" s="120">
        <f>N43*N44</f>
        <v>49411.76470588235</v>
      </c>
      <c r="O45" s="10" t="s">
        <v>0</v>
      </c>
      <c r="Q45" s="111" t="s">
        <v>61</v>
      </c>
      <c r="R45" s="121" t="s">
        <v>114</v>
      </c>
      <c r="S45" s="77"/>
      <c r="T45" s="77"/>
    </row>
    <row r="46" spans="1:20" ht="16.5" customHeight="1">
      <c r="A46" s="16"/>
      <c r="B46" s="50"/>
      <c r="C46" s="51"/>
      <c r="D46" s="52"/>
      <c r="E46" s="53"/>
      <c r="F46" s="42"/>
      <c r="G46" s="119"/>
      <c r="H46" s="27"/>
      <c r="I46" s="35" t="s">
        <v>21</v>
      </c>
      <c r="J46" s="116">
        <v>0.207</v>
      </c>
      <c r="K46" s="117"/>
      <c r="M46" s="118" t="s">
        <v>115</v>
      </c>
      <c r="N46" s="120">
        <v>12000</v>
      </c>
      <c r="O46" s="10" t="s">
        <v>2</v>
      </c>
      <c r="Q46" s="120">
        <v>500</v>
      </c>
      <c r="R46" s="111">
        <f>$N$45/$N$46+$N$45/($N$47*Q46)+($N$45*$N$48*0.6)/(Q46*100)+($N$45*(($N$49+$N$50)/(Q46*100)))+$N$43*$N$52*$N$51</f>
        <v>14.967058823529412</v>
      </c>
      <c r="S46" s="77"/>
      <c r="T46" s="77"/>
    </row>
    <row r="47" spans="1:20" ht="16.5" customHeight="1">
      <c r="A47" s="16"/>
      <c r="B47" s="38" t="s">
        <v>51</v>
      </c>
      <c r="C47" s="39"/>
      <c r="D47" s="47">
        <f>F47*D13</f>
        <v>8250</v>
      </c>
      <c r="E47" s="41" t="s">
        <v>0</v>
      </c>
      <c r="F47" s="122">
        <v>2750</v>
      </c>
      <c r="G47" s="123" t="s">
        <v>110</v>
      </c>
      <c r="H47" s="27"/>
      <c r="I47" s="42"/>
      <c r="J47" s="124"/>
      <c r="K47" s="22"/>
      <c r="M47" s="118"/>
      <c r="N47" s="25">
        <v>20</v>
      </c>
      <c r="O47" s="10" t="s">
        <v>5</v>
      </c>
      <c r="Q47" s="120">
        <v>1000</v>
      </c>
      <c r="R47" s="111">
        <f>$N$45/$N$46+$N$45/($N$47*Q47)+($N$45*$N$48*0.6)/(Q47*100)+($N$45*(($N$49+$N$50)/(Q47*100)))+$N$43*$N$52*$N$51</f>
        <v>10.865882352941176</v>
      </c>
      <c r="S47" s="77"/>
      <c r="T47" s="77"/>
    </row>
    <row r="48" spans="1:20" ht="16.5" customHeight="1">
      <c r="A48" s="16"/>
      <c r="B48" s="125"/>
      <c r="C48" s="42"/>
      <c r="D48" s="47"/>
      <c r="E48" s="53"/>
      <c r="F48" s="42"/>
      <c r="G48" s="119"/>
      <c r="H48" s="17"/>
      <c r="I48" s="91" t="s">
        <v>107</v>
      </c>
      <c r="J48" s="91"/>
      <c r="K48" s="37"/>
      <c r="M48" s="126" t="s">
        <v>117</v>
      </c>
      <c r="N48" s="28">
        <f>+D51</f>
        <v>5</v>
      </c>
      <c r="O48" s="10" t="s">
        <v>3</v>
      </c>
      <c r="S48" s="77"/>
      <c r="T48" s="77"/>
    </row>
    <row r="49" spans="1:20" ht="16.5" customHeight="1">
      <c r="A49" s="16"/>
      <c r="B49" s="127" t="s">
        <v>52</v>
      </c>
      <c r="C49" s="128"/>
      <c r="D49" s="129">
        <v>3000</v>
      </c>
      <c r="E49" s="41" t="s">
        <v>58</v>
      </c>
      <c r="F49" s="68">
        <f>+$D$47/$D49</f>
        <v>2.75</v>
      </c>
      <c r="G49" s="123" t="s">
        <v>62</v>
      </c>
      <c r="H49" s="130"/>
      <c r="I49" s="35" t="s">
        <v>19</v>
      </c>
      <c r="J49" s="131">
        <v>100</v>
      </c>
      <c r="K49" s="37"/>
      <c r="M49" s="126" t="s">
        <v>8</v>
      </c>
      <c r="N49" s="28">
        <v>0.2</v>
      </c>
      <c r="O49" s="10" t="s">
        <v>3</v>
      </c>
      <c r="S49" s="77"/>
      <c r="T49" s="77"/>
    </row>
    <row r="50" spans="1:20" ht="16.5" customHeight="1">
      <c r="A50" s="16"/>
      <c r="B50" s="127" t="s">
        <v>53</v>
      </c>
      <c r="C50" s="128"/>
      <c r="D50" s="132">
        <v>20</v>
      </c>
      <c r="E50" s="41" t="s">
        <v>5</v>
      </c>
      <c r="F50" s="68">
        <f>+$D$47/($D50*D45)</f>
        <v>4.125</v>
      </c>
      <c r="G50" s="123" t="s">
        <v>62</v>
      </c>
      <c r="H50" s="130"/>
      <c r="I50" s="35" t="s">
        <v>21</v>
      </c>
      <c r="J50" s="133">
        <v>200</v>
      </c>
      <c r="K50" s="134"/>
      <c r="M50" s="126" t="s">
        <v>10</v>
      </c>
      <c r="N50" s="28">
        <v>0.1</v>
      </c>
      <c r="O50" s="10" t="s">
        <v>3</v>
      </c>
      <c r="P50" s="77"/>
      <c r="Q50" s="77"/>
      <c r="R50" s="77"/>
      <c r="S50" s="77"/>
      <c r="T50" s="77"/>
    </row>
    <row r="51" spans="1:30" ht="16.5" customHeight="1">
      <c r="A51" s="16"/>
      <c r="B51" s="127" t="s">
        <v>54</v>
      </c>
      <c r="C51" s="128"/>
      <c r="D51" s="132">
        <v>5</v>
      </c>
      <c r="E51" s="41" t="s">
        <v>3</v>
      </c>
      <c r="F51" s="68">
        <f>+$D$47*0.006*$D51/D45</f>
        <v>2.475</v>
      </c>
      <c r="G51" s="123" t="s">
        <v>62</v>
      </c>
      <c r="H51" s="27"/>
      <c r="I51" s="17"/>
      <c r="J51" s="135"/>
      <c r="K51" s="22"/>
      <c r="M51" s="136" t="s">
        <v>111</v>
      </c>
      <c r="N51" s="28">
        <v>0.2</v>
      </c>
      <c r="O51" s="137" t="s">
        <v>6</v>
      </c>
      <c r="P51" s="77"/>
      <c r="Q51" s="77"/>
      <c r="R51" s="77"/>
      <c r="S51" s="77"/>
      <c r="T51" s="77"/>
      <c r="AD51" s="11" t="b">
        <v>1</v>
      </c>
    </row>
    <row r="52" spans="1:30" ht="16.5" customHeight="1">
      <c r="A52" s="16"/>
      <c r="B52" s="127" t="s">
        <v>55</v>
      </c>
      <c r="C52" s="128"/>
      <c r="D52" s="132">
        <v>0.2</v>
      </c>
      <c r="E52" s="41" t="s">
        <v>59</v>
      </c>
      <c r="F52" s="68">
        <f>+$D$47*$D52/(100*D45)</f>
        <v>0.165</v>
      </c>
      <c r="G52" s="123" t="s">
        <v>62</v>
      </c>
      <c r="H52" s="27"/>
      <c r="I52" s="17"/>
      <c r="J52" s="135"/>
      <c r="K52" s="22"/>
      <c r="M52" s="136" t="s">
        <v>118</v>
      </c>
      <c r="N52" s="138">
        <v>0.15</v>
      </c>
      <c r="O52" s="137" t="s">
        <v>11</v>
      </c>
      <c r="P52" s="77"/>
      <c r="Q52" s="77"/>
      <c r="R52" s="77"/>
      <c r="S52" s="77"/>
      <c r="T52" s="77"/>
      <c r="AD52" s="11" t="b">
        <v>0</v>
      </c>
    </row>
    <row r="53" spans="1:20" ht="16.5" customHeight="1">
      <c r="A53" s="16"/>
      <c r="B53" s="127" t="s">
        <v>56</v>
      </c>
      <c r="C53" s="128"/>
      <c r="D53" s="132">
        <v>0.1</v>
      </c>
      <c r="E53" s="41" t="s">
        <v>59</v>
      </c>
      <c r="F53" s="68">
        <f>+$D$47*$D53/(D45*100)</f>
        <v>0.0825</v>
      </c>
      <c r="G53" s="123" t="s">
        <v>62</v>
      </c>
      <c r="H53" s="27"/>
      <c r="I53" s="17"/>
      <c r="J53" s="135"/>
      <c r="K53" s="139"/>
      <c r="M53" s="77"/>
      <c r="N53" s="77"/>
      <c r="O53" s="77"/>
      <c r="P53" s="77"/>
      <c r="Q53" s="77"/>
      <c r="R53" s="77"/>
      <c r="S53" s="77"/>
      <c r="T53" s="77"/>
    </row>
    <row r="54" spans="1:20" ht="16.5" customHeight="1" thickBot="1">
      <c r="A54" s="16"/>
      <c r="B54" s="140" t="s">
        <v>57</v>
      </c>
      <c r="C54" s="141"/>
      <c r="D54" s="97">
        <v>1.1</v>
      </c>
      <c r="E54" s="142" t="s">
        <v>60</v>
      </c>
      <c r="F54" s="143">
        <f>+D54/D26</f>
        <v>2.5245</v>
      </c>
      <c r="G54" s="144" t="s">
        <v>62</v>
      </c>
      <c r="H54" s="145"/>
      <c r="I54" s="146" t="str">
        <f>CONCATENATE("Vida útil para ",D45," h/año")</f>
        <v>Vida útil para 100 h/año</v>
      </c>
      <c r="J54" s="147"/>
      <c r="K54" s="148"/>
      <c r="M54" s="149" t="s">
        <v>71</v>
      </c>
      <c r="N54" s="149" t="s">
        <v>72</v>
      </c>
      <c r="O54" s="149" t="s">
        <v>73</v>
      </c>
      <c r="P54" s="149" t="s">
        <v>100</v>
      </c>
      <c r="Q54" s="149" t="s">
        <v>74</v>
      </c>
      <c r="R54" s="149" t="s">
        <v>75</v>
      </c>
      <c r="S54" s="149" t="s">
        <v>76</v>
      </c>
      <c r="T54" s="149" t="s">
        <v>95</v>
      </c>
    </row>
    <row r="55" spans="1:20" ht="16.5" customHeight="1" thickTop="1">
      <c r="A55" s="16"/>
      <c r="B55" s="70" t="s">
        <v>63</v>
      </c>
      <c r="C55" s="150"/>
      <c r="D55" s="53"/>
      <c r="E55" s="53"/>
      <c r="F55" s="68">
        <f>SUM(F49:F54)</f>
        <v>12.121999999999998</v>
      </c>
      <c r="G55" s="123" t="s">
        <v>62</v>
      </c>
      <c r="H55" s="145"/>
      <c r="I55" s="151" t="s">
        <v>58</v>
      </c>
      <c r="J55" s="152">
        <f>+$D$47/($F$49+$F$50)</f>
        <v>1200</v>
      </c>
      <c r="K55" s="153"/>
      <c r="M55" s="149"/>
      <c r="N55" s="149"/>
      <c r="O55" s="149"/>
      <c r="P55" s="149"/>
      <c r="Q55" s="149"/>
      <c r="R55" s="149"/>
      <c r="S55" s="149"/>
      <c r="T55" s="149"/>
    </row>
    <row r="56" spans="1:20" ht="16.5" customHeight="1">
      <c r="A56" s="16"/>
      <c r="B56" s="154"/>
      <c r="C56" s="155"/>
      <c r="D56" s="156"/>
      <c r="E56" s="156"/>
      <c r="F56" s="157">
        <f>+F55*D26</f>
        <v>5.281917211328975</v>
      </c>
      <c r="G56" s="158" t="s">
        <v>60</v>
      </c>
      <c r="H56" s="17"/>
      <c r="I56" s="151" t="s">
        <v>5</v>
      </c>
      <c r="J56" s="159">
        <f>+$D$47/($D$45*($F$49+$F$50))</f>
        <v>12</v>
      </c>
      <c r="K56" s="22"/>
      <c r="M56" s="65">
        <v>180</v>
      </c>
      <c r="N56" s="65">
        <v>75</v>
      </c>
      <c r="O56" s="65">
        <f>N56/100*M56</f>
        <v>135</v>
      </c>
      <c r="P56" s="160">
        <f aca="true" t="shared" si="0" ref="P56:P67">0.75*O56</f>
        <v>101.25</v>
      </c>
      <c r="Q56" s="65">
        <f aca="true" t="shared" si="1" ref="Q56:Q67">$D$19</f>
        <v>9</v>
      </c>
      <c r="R56" s="65">
        <f>J$14*D$17</f>
        <v>30</v>
      </c>
      <c r="S56" s="65">
        <f aca="true" t="shared" si="2" ref="S56:S67">D$12</f>
        <v>18</v>
      </c>
      <c r="T56" s="161">
        <f aca="true" t="shared" si="3" ref="T56:T67">P56*3600*0.1/(1.36*Q56*R56*S56)</f>
        <v>5.514705882352942</v>
      </c>
    </row>
    <row r="57" spans="1:20" ht="16.5" customHeight="1">
      <c r="A57" s="16"/>
      <c r="B57" s="17"/>
      <c r="C57" s="17"/>
      <c r="D57" s="20"/>
      <c r="E57" s="20"/>
      <c r="F57" s="17"/>
      <c r="G57" s="27"/>
      <c r="H57" s="17"/>
      <c r="I57" s="17"/>
      <c r="J57" s="17"/>
      <c r="K57" s="22"/>
      <c r="M57" s="65">
        <v>180</v>
      </c>
      <c r="N57" s="65">
        <v>50</v>
      </c>
      <c r="O57" s="65">
        <f aca="true" t="shared" si="4" ref="O57:O67">N57/100*M57</f>
        <v>90</v>
      </c>
      <c r="P57" s="160">
        <f t="shared" si="0"/>
        <v>67.5</v>
      </c>
      <c r="Q57" s="65">
        <f t="shared" si="1"/>
        <v>9</v>
      </c>
      <c r="R57" s="65">
        <f aca="true" t="shared" si="5" ref="R57:R67">J$14*D$17</f>
        <v>30</v>
      </c>
      <c r="S57" s="65">
        <f t="shared" si="2"/>
        <v>18</v>
      </c>
      <c r="T57" s="161">
        <f t="shared" si="3"/>
        <v>3.6764705882352944</v>
      </c>
    </row>
    <row r="58" spans="1:20" ht="16.5" customHeight="1">
      <c r="A58" s="16"/>
      <c r="B58" s="162" t="s">
        <v>66</v>
      </c>
      <c r="C58" s="162"/>
      <c r="D58" s="162"/>
      <c r="E58" s="163" t="s">
        <v>119</v>
      </c>
      <c r="F58" s="163"/>
      <c r="G58" s="164"/>
      <c r="H58" s="17"/>
      <c r="I58" s="17"/>
      <c r="J58" s="17"/>
      <c r="K58" s="22"/>
      <c r="M58" s="65">
        <v>180</v>
      </c>
      <c r="N58" s="65">
        <v>25</v>
      </c>
      <c r="O58" s="65">
        <f t="shared" si="4"/>
        <v>45</v>
      </c>
      <c r="P58" s="160">
        <f t="shared" si="0"/>
        <v>33.75</v>
      </c>
      <c r="Q58" s="65">
        <f t="shared" si="1"/>
        <v>9</v>
      </c>
      <c r="R58" s="65">
        <f t="shared" si="5"/>
        <v>30</v>
      </c>
      <c r="S58" s="65">
        <f t="shared" si="2"/>
        <v>18</v>
      </c>
      <c r="T58" s="161">
        <f t="shared" si="3"/>
        <v>1.8382352941176472</v>
      </c>
    </row>
    <row r="59" spans="1:20" ht="16.5" customHeight="1">
      <c r="A59" s="16"/>
      <c r="B59" s="165" t="s">
        <v>106</v>
      </c>
      <c r="C59" s="166"/>
      <c r="D59" s="167" t="s">
        <v>105</v>
      </c>
      <c r="E59" s="151" t="s">
        <v>62</v>
      </c>
      <c r="F59" s="151" t="s">
        <v>60</v>
      </c>
      <c r="G59" s="168"/>
      <c r="H59" s="17"/>
      <c r="I59" s="169" t="s">
        <v>125</v>
      </c>
      <c r="J59" s="169"/>
      <c r="K59" s="22"/>
      <c r="M59" s="65">
        <v>150</v>
      </c>
      <c r="N59" s="65">
        <v>75</v>
      </c>
      <c r="O59" s="65">
        <f t="shared" si="4"/>
        <v>112.5</v>
      </c>
      <c r="P59" s="160">
        <f t="shared" si="0"/>
        <v>84.375</v>
      </c>
      <c r="Q59" s="65">
        <f t="shared" si="1"/>
        <v>9</v>
      </c>
      <c r="R59" s="65">
        <f>J$14*D$17</f>
        <v>30</v>
      </c>
      <c r="S59" s="65">
        <f t="shared" si="2"/>
        <v>18</v>
      </c>
      <c r="T59" s="161">
        <f t="shared" si="3"/>
        <v>4.595588235294118</v>
      </c>
    </row>
    <row r="60" spans="1:20" ht="16.5" customHeight="1">
      <c r="A60" s="16"/>
      <c r="B60" s="35"/>
      <c r="C60" s="35" t="s">
        <v>104</v>
      </c>
      <c r="D60" s="170">
        <f>R46</f>
        <v>14.967058823529412</v>
      </c>
      <c r="E60" s="159">
        <f>IF(AD68=TRUE,D60+D41,D60*0)</f>
        <v>33.23176470588235</v>
      </c>
      <c r="F60" s="171">
        <f>E60*$D$26</f>
        <v>14.480071767268996</v>
      </c>
      <c r="G60" s="172">
        <f>IF(AD68=TRUE,F60,F60*0)</f>
        <v>14.480071767268996</v>
      </c>
      <c r="H60" s="17"/>
      <c r="I60" s="173">
        <v>560</v>
      </c>
      <c r="J60" s="174" t="s">
        <v>126</v>
      </c>
      <c r="K60" s="22"/>
      <c r="M60" s="65">
        <v>150</v>
      </c>
      <c r="N60" s="65">
        <v>50</v>
      </c>
      <c r="O60" s="65">
        <f t="shared" si="4"/>
        <v>75</v>
      </c>
      <c r="P60" s="160">
        <f t="shared" si="0"/>
        <v>56.25</v>
      </c>
      <c r="Q60" s="65">
        <f t="shared" si="1"/>
        <v>9</v>
      </c>
      <c r="R60" s="65">
        <f t="shared" si="5"/>
        <v>30</v>
      </c>
      <c r="S60" s="65">
        <f t="shared" si="2"/>
        <v>18</v>
      </c>
      <c r="T60" s="161">
        <f t="shared" si="3"/>
        <v>3.0637254901960786</v>
      </c>
    </row>
    <row r="61" spans="1:20" ht="16.5" customHeight="1">
      <c r="A61" s="16"/>
      <c r="B61" s="35"/>
      <c r="C61" s="35" t="s">
        <v>103</v>
      </c>
      <c r="D61" s="170">
        <f>R47</f>
        <v>10.865882352941176</v>
      </c>
      <c r="E61" s="159">
        <f>IF(AD69=TRUE,D61+D41,D61*0)</f>
        <v>0</v>
      </c>
      <c r="F61" s="171">
        <f>E61*$D$26</f>
        <v>0</v>
      </c>
      <c r="G61" s="172">
        <f>IF(AD69=TRUE,F61,F61*0)</f>
        <v>0</v>
      </c>
      <c r="H61" s="17"/>
      <c r="I61" s="17"/>
      <c r="J61" s="17"/>
      <c r="K61" s="22"/>
      <c r="M61" s="65">
        <v>150</v>
      </c>
      <c r="N61" s="65">
        <v>25</v>
      </c>
      <c r="O61" s="65">
        <f t="shared" si="4"/>
        <v>37.5</v>
      </c>
      <c r="P61" s="160">
        <f t="shared" si="0"/>
        <v>28.125</v>
      </c>
      <c r="Q61" s="65">
        <f t="shared" si="1"/>
        <v>9</v>
      </c>
      <c r="R61" s="65">
        <f t="shared" si="5"/>
        <v>30</v>
      </c>
      <c r="S61" s="65">
        <f t="shared" si="2"/>
        <v>18</v>
      </c>
      <c r="T61" s="161">
        <f t="shared" si="3"/>
        <v>1.5318627450980393</v>
      </c>
    </row>
    <row r="62" spans="1:20" ht="16.5" customHeight="1">
      <c r="A62" s="16"/>
      <c r="B62" s="17"/>
      <c r="C62" s="175"/>
      <c r="D62" s="20"/>
      <c r="E62" s="18"/>
      <c r="F62" s="176"/>
      <c r="G62" s="164"/>
      <c r="H62" s="17"/>
      <c r="I62" s="17"/>
      <c r="J62" s="17"/>
      <c r="K62" s="22"/>
      <c r="M62" s="65">
        <v>120</v>
      </c>
      <c r="N62" s="65">
        <v>75</v>
      </c>
      <c r="O62" s="65">
        <f t="shared" si="4"/>
        <v>90</v>
      </c>
      <c r="P62" s="160">
        <f t="shared" si="0"/>
        <v>67.5</v>
      </c>
      <c r="Q62" s="65">
        <f t="shared" si="1"/>
        <v>9</v>
      </c>
      <c r="R62" s="65">
        <f>J$14*D$17</f>
        <v>30</v>
      </c>
      <c r="S62" s="65">
        <f t="shared" si="2"/>
        <v>18</v>
      </c>
      <c r="T62" s="161">
        <f t="shared" si="3"/>
        <v>3.6764705882352944</v>
      </c>
    </row>
    <row r="63" spans="1:20" ht="16.5" customHeight="1">
      <c r="A63" s="16"/>
      <c r="B63" s="177" t="s">
        <v>120</v>
      </c>
      <c r="C63" s="178"/>
      <c r="D63" s="179"/>
      <c r="E63" s="180" t="s">
        <v>63</v>
      </c>
      <c r="F63" s="181"/>
      <c r="G63" s="164"/>
      <c r="H63" s="17"/>
      <c r="I63" s="17"/>
      <c r="J63" s="17"/>
      <c r="K63" s="22"/>
      <c r="M63" s="65">
        <v>120</v>
      </c>
      <c r="N63" s="65">
        <v>50</v>
      </c>
      <c r="O63" s="65">
        <f t="shared" si="4"/>
        <v>60</v>
      </c>
      <c r="P63" s="160">
        <f t="shared" si="0"/>
        <v>45</v>
      </c>
      <c r="Q63" s="65">
        <f t="shared" si="1"/>
        <v>9</v>
      </c>
      <c r="R63" s="65">
        <f t="shared" si="5"/>
        <v>30</v>
      </c>
      <c r="S63" s="65">
        <f t="shared" si="2"/>
        <v>18</v>
      </c>
      <c r="T63" s="161">
        <f t="shared" si="3"/>
        <v>2.450980392156863</v>
      </c>
    </row>
    <row r="64" spans="1:20" ht="16.5" customHeight="1">
      <c r="A64" s="16"/>
      <c r="B64" s="165" t="s">
        <v>106</v>
      </c>
      <c r="C64" s="166"/>
      <c r="D64" s="182" t="s">
        <v>65</v>
      </c>
      <c r="E64" s="180" t="s">
        <v>60</v>
      </c>
      <c r="F64" s="181"/>
      <c r="G64" s="27"/>
      <c r="H64" s="17"/>
      <c r="I64" s="17"/>
      <c r="J64" s="17"/>
      <c r="K64" s="22"/>
      <c r="M64" s="65">
        <v>120</v>
      </c>
      <c r="N64" s="65">
        <v>25</v>
      </c>
      <c r="O64" s="65">
        <f t="shared" si="4"/>
        <v>30</v>
      </c>
      <c r="P64" s="160">
        <f t="shared" si="0"/>
        <v>22.5</v>
      </c>
      <c r="Q64" s="65">
        <f t="shared" si="1"/>
        <v>9</v>
      </c>
      <c r="R64" s="65">
        <f t="shared" si="5"/>
        <v>30</v>
      </c>
      <c r="S64" s="65">
        <f t="shared" si="2"/>
        <v>18</v>
      </c>
      <c r="T64" s="161">
        <f t="shared" si="3"/>
        <v>1.2254901960784315</v>
      </c>
    </row>
    <row r="65" spans="1:20" ht="16.5" customHeight="1">
      <c r="A65" s="16"/>
      <c r="B65" s="35"/>
      <c r="C65" s="35" t="str">
        <f>IF(D45=J49,"Baja","Alta")</f>
        <v>Baja</v>
      </c>
      <c r="D65" s="183">
        <f>D45*D27</f>
        <v>229.50000000000003</v>
      </c>
      <c r="E65" s="184">
        <f>+F56+$G$60+$G$61</f>
        <v>19.76198897859797</v>
      </c>
      <c r="F65" s="185"/>
      <c r="G65" s="27"/>
      <c r="H65" s="17"/>
      <c r="I65" s="17"/>
      <c r="J65" s="17"/>
      <c r="K65" s="22"/>
      <c r="M65" s="65">
        <v>90</v>
      </c>
      <c r="N65" s="65">
        <v>75</v>
      </c>
      <c r="O65" s="65">
        <f t="shared" si="4"/>
        <v>67.5</v>
      </c>
      <c r="P65" s="160">
        <f t="shared" si="0"/>
        <v>50.625</v>
      </c>
      <c r="Q65" s="65">
        <f t="shared" si="1"/>
        <v>9</v>
      </c>
      <c r="R65" s="65">
        <f>J$14*D$17</f>
        <v>30</v>
      </c>
      <c r="S65" s="65">
        <f t="shared" si="2"/>
        <v>18</v>
      </c>
      <c r="T65" s="161">
        <f t="shared" si="3"/>
        <v>2.757352941176471</v>
      </c>
    </row>
    <row r="66" spans="1:20" ht="16.5" customHeight="1">
      <c r="A66" s="16"/>
      <c r="B66" s="13"/>
      <c r="C66" s="13"/>
      <c r="D66" s="186"/>
      <c r="E66" s="187"/>
      <c r="F66" s="187"/>
      <c r="G66" s="27"/>
      <c r="H66" s="17"/>
      <c r="I66" s="17"/>
      <c r="J66" s="17"/>
      <c r="K66" s="22"/>
      <c r="M66" s="65">
        <v>90</v>
      </c>
      <c r="N66" s="65">
        <v>50</v>
      </c>
      <c r="O66" s="65">
        <f t="shared" si="4"/>
        <v>45</v>
      </c>
      <c r="P66" s="160">
        <f t="shared" si="0"/>
        <v>33.75</v>
      </c>
      <c r="Q66" s="65">
        <f t="shared" si="1"/>
        <v>9</v>
      </c>
      <c r="R66" s="65">
        <f t="shared" si="5"/>
        <v>30</v>
      </c>
      <c r="S66" s="65">
        <f t="shared" si="2"/>
        <v>18</v>
      </c>
      <c r="T66" s="161">
        <f t="shared" si="3"/>
        <v>1.8382352941176472</v>
      </c>
    </row>
    <row r="67" spans="1:20" ht="16.5" customHeight="1">
      <c r="A67" s="16"/>
      <c r="B67" s="17"/>
      <c r="C67" s="17"/>
      <c r="D67" s="20"/>
      <c r="E67" s="20"/>
      <c r="F67" s="17"/>
      <c r="G67" s="27"/>
      <c r="H67" s="17"/>
      <c r="I67" s="17"/>
      <c r="J67" s="17"/>
      <c r="K67" s="22"/>
      <c r="M67" s="65">
        <v>90</v>
      </c>
      <c r="N67" s="65">
        <v>25</v>
      </c>
      <c r="O67" s="65">
        <f t="shared" si="4"/>
        <v>22.5</v>
      </c>
      <c r="P67" s="160">
        <f t="shared" si="0"/>
        <v>16.875</v>
      </c>
      <c r="Q67" s="65">
        <f t="shared" si="1"/>
        <v>9</v>
      </c>
      <c r="R67" s="65">
        <f t="shared" si="5"/>
        <v>30</v>
      </c>
      <c r="S67" s="65">
        <f t="shared" si="2"/>
        <v>18</v>
      </c>
      <c r="T67" s="161">
        <f t="shared" si="3"/>
        <v>0.9191176470588236</v>
      </c>
    </row>
    <row r="68" spans="1:30" ht="16.5" customHeight="1">
      <c r="A68" s="188"/>
      <c r="B68" s="189"/>
      <c r="C68" s="189"/>
      <c r="D68" s="190"/>
      <c r="E68" s="190"/>
      <c r="F68" s="189"/>
      <c r="G68" s="191"/>
      <c r="H68" s="189"/>
      <c r="I68" s="189"/>
      <c r="J68" s="189"/>
      <c r="K68" s="192"/>
      <c r="M68" s="25"/>
      <c r="N68" s="25"/>
      <c r="O68" s="25"/>
      <c r="P68" s="193"/>
      <c r="Q68" s="25"/>
      <c r="R68" s="25"/>
      <c r="S68" s="25"/>
      <c r="T68" s="111"/>
      <c r="AD68" s="11" t="b">
        <v>1</v>
      </c>
    </row>
    <row r="69" spans="3:30" ht="16.5" customHeight="1">
      <c r="C69" s="194"/>
      <c r="D69" s="195"/>
      <c r="E69" s="196"/>
      <c r="F69" s="197"/>
      <c r="H69" s="198"/>
      <c r="I69" s="199"/>
      <c r="K69" s="200"/>
      <c r="M69" s="25"/>
      <c r="N69" s="25"/>
      <c r="O69" s="25"/>
      <c r="P69" s="193"/>
      <c r="Q69" s="25"/>
      <c r="R69" s="25"/>
      <c r="S69" s="25"/>
      <c r="T69" s="111"/>
      <c r="AD69" s="11" t="b">
        <v>0</v>
      </c>
    </row>
    <row r="70" spans="4:11" ht="16.5" customHeight="1">
      <c r="D70" s="195"/>
      <c r="E70" s="196"/>
      <c r="F70" s="197"/>
      <c r="G70" s="201"/>
      <c r="H70" s="202"/>
      <c r="I70" s="203"/>
      <c r="K70" s="204"/>
    </row>
    <row r="71" spans="7:8" ht="16.5" customHeight="1">
      <c r="G71" s="201"/>
      <c r="H71" s="203"/>
    </row>
    <row r="72" ht="16.5" customHeight="1"/>
    <row r="73" ht="14.25">
      <c r="AD73" s="11" t="b">
        <v>0</v>
      </c>
    </row>
    <row r="74" ht="14.25">
      <c r="AD74" s="11" t="b">
        <v>1</v>
      </c>
    </row>
  </sheetData>
  <sheetProtection/>
  <mergeCells count="88">
    <mergeCell ref="N28:N30"/>
    <mergeCell ref="N31:N33"/>
    <mergeCell ref="N34:N36"/>
    <mergeCell ref="M9:N9"/>
    <mergeCell ref="N18:N20"/>
    <mergeCell ref="N21:N23"/>
    <mergeCell ref="Q29:Q30"/>
    <mergeCell ref="I42:J42"/>
    <mergeCell ref="B29:C29"/>
    <mergeCell ref="B30:C30"/>
    <mergeCell ref="B32:C32"/>
    <mergeCell ref="I36:J36"/>
    <mergeCell ref="Q32:Q33"/>
    <mergeCell ref="Q35:Q36"/>
    <mergeCell ref="P35:P36"/>
    <mergeCell ref="M28:M36"/>
    <mergeCell ref="I17:J17"/>
    <mergeCell ref="I21:J21"/>
    <mergeCell ref="I26:J26"/>
    <mergeCell ref="N24:N26"/>
    <mergeCell ref="M18:M26"/>
    <mergeCell ref="Q19:Q20"/>
    <mergeCell ref="Q22:Q23"/>
    <mergeCell ref="Q25:Q26"/>
    <mergeCell ref="B22:C22"/>
    <mergeCell ref="P25:P26"/>
    <mergeCell ref="B49:C49"/>
    <mergeCell ref="B12:C12"/>
    <mergeCell ref="B13:C13"/>
    <mergeCell ref="B14:C14"/>
    <mergeCell ref="B16:C16"/>
    <mergeCell ref="B17:C17"/>
    <mergeCell ref="P54:P55"/>
    <mergeCell ref="M46:M47"/>
    <mergeCell ref="B50:C50"/>
    <mergeCell ref="B26:C26"/>
    <mergeCell ref="B33:C33"/>
    <mergeCell ref="B36:C36"/>
    <mergeCell ref="B38:C38"/>
    <mergeCell ref="B35:C35"/>
    <mergeCell ref="B40:C40"/>
    <mergeCell ref="B44:C44"/>
    <mergeCell ref="I31:J31"/>
    <mergeCell ref="B24:C24"/>
    <mergeCell ref="B25:C25"/>
    <mergeCell ref="B18:C18"/>
    <mergeCell ref="B19:C19"/>
    <mergeCell ref="B20:C20"/>
    <mergeCell ref="R54:R55"/>
    <mergeCell ref="P22:P23"/>
    <mergeCell ref="P19:P20"/>
    <mergeCell ref="P29:P30"/>
    <mergeCell ref="P32:P33"/>
    <mergeCell ref="R32:R33"/>
    <mergeCell ref="R35:R36"/>
    <mergeCell ref="R19:R20"/>
    <mergeCell ref="R22:R23"/>
    <mergeCell ref="R25:R26"/>
    <mergeCell ref="R29:R30"/>
    <mergeCell ref="T54:T55"/>
    <mergeCell ref="M54:M55"/>
    <mergeCell ref="N54:N55"/>
    <mergeCell ref="O54:O55"/>
    <mergeCell ref="Q54:Q55"/>
    <mergeCell ref="Q43:R44"/>
    <mergeCell ref="M38:R39"/>
    <mergeCell ref="S54:S55"/>
    <mergeCell ref="M41:O41"/>
    <mergeCell ref="M42:M43"/>
    <mergeCell ref="E65:F65"/>
    <mergeCell ref="E64:F64"/>
    <mergeCell ref="I54:J54"/>
    <mergeCell ref="I48:J48"/>
    <mergeCell ref="I59:J59"/>
    <mergeCell ref="B64:C64"/>
    <mergeCell ref="M44:M45"/>
    <mergeCell ref="B45:C45"/>
    <mergeCell ref="B52:C52"/>
    <mergeCell ref="B53:C53"/>
    <mergeCell ref="B54:C54"/>
    <mergeCell ref="B51:C51"/>
    <mergeCell ref="B47:C47"/>
    <mergeCell ref="B55:C55"/>
    <mergeCell ref="E63:F63"/>
    <mergeCell ref="B63:D63"/>
    <mergeCell ref="B59:C59"/>
    <mergeCell ref="B58:D58"/>
    <mergeCell ref="E58:F58"/>
  </mergeCells>
  <conditionalFormatting sqref="M37 J32:J34">
    <cfRule type="cellIs" priority="1" dxfId="0" operator="equal" stopIfTrue="1">
      <formula>$D$29</formula>
    </cfRule>
  </conditionalFormatting>
  <conditionalFormatting sqref="J37:J40">
    <cfRule type="cellIs" priority="2" dxfId="0" operator="equal" stopIfTrue="1">
      <formula>$D$33</formula>
    </cfRule>
  </conditionalFormatting>
  <conditionalFormatting sqref="J18:J20">
    <cfRule type="cellIs" priority="3" dxfId="0" operator="equal" stopIfTrue="1">
      <formula>$D$12</formula>
    </cfRule>
  </conditionalFormatting>
  <conditionalFormatting sqref="J13:J15">
    <cfRule type="cellIs" priority="4" dxfId="0" operator="equal" stopIfTrue="1">
      <formula>$D$16</formula>
    </cfRule>
  </conditionalFormatting>
  <conditionalFormatting sqref="J27:J29">
    <cfRule type="cellIs" priority="5" dxfId="0" operator="equal" stopIfTrue="1">
      <formula>$D$25</formula>
    </cfRule>
  </conditionalFormatting>
  <conditionalFormatting sqref="J22:J24">
    <cfRule type="cellIs" priority="6" dxfId="0" operator="equal" stopIfTrue="1">
      <formula>$D$13</formula>
    </cfRule>
  </conditionalFormatting>
  <conditionalFormatting sqref="J44">
    <cfRule type="expression" priority="7" dxfId="0" stopIfTrue="1">
      <formula>$D$29=25</formula>
    </cfRule>
  </conditionalFormatting>
  <conditionalFormatting sqref="J45">
    <cfRule type="expression" priority="8" dxfId="0" stopIfTrue="1">
      <formula>$D$29=50</formula>
    </cfRule>
  </conditionalFormatting>
  <conditionalFormatting sqref="J46">
    <cfRule type="expression" priority="9" dxfId="0" stopIfTrue="1">
      <formula>$D$29=75</formula>
    </cfRule>
  </conditionalFormatting>
  <conditionalFormatting sqref="C60">
    <cfRule type="expression" priority="10" dxfId="0" stopIfTrue="1">
      <formula>$G$60&gt;0</formula>
    </cfRule>
  </conditionalFormatting>
  <conditionalFormatting sqref="C61">
    <cfRule type="expression" priority="11" dxfId="0" stopIfTrue="1">
      <formula>$G$61&gt;0</formula>
    </cfRule>
  </conditionalFormatting>
  <conditionalFormatting sqref="J49:J50">
    <cfRule type="cellIs" priority="12" dxfId="0" operator="equal" stopIfTrue="1">
      <formula>$D$45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79.8515625" style="3" customWidth="1"/>
  </cols>
  <sheetData>
    <row r="1" s="1" customFormat="1" ht="12.75">
      <c r="A1" s="2"/>
    </row>
    <row r="2" s="1" customFormat="1" ht="12.75">
      <c r="A2" s="2"/>
    </row>
    <row r="3" s="1" customFormat="1" ht="12.75">
      <c r="A3" s="2"/>
    </row>
    <row r="4" s="1" customFormat="1" ht="12.75">
      <c r="A4" s="2"/>
    </row>
    <row r="5" s="1" customFormat="1" ht="12.75">
      <c r="A5" s="2"/>
    </row>
    <row r="6" s="1" customFormat="1" ht="12.75">
      <c r="A6" s="2"/>
    </row>
    <row r="7" s="1" customFormat="1" ht="12.75">
      <c r="A7" s="4"/>
    </row>
    <row r="8" spans="1:15" ht="12.75">
      <c r="A8" s="5" t="s">
        <v>121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6" t="s">
        <v>122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6" t="s">
        <v>127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6" t="s">
        <v>128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6" t="s">
        <v>129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8.5" customHeight="1">
      <c r="A14" s="6" t="s">
        <v>130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8.5" customHeight="1">
      <c r="A15" s="6" t="s">
        <v>131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8.5" customHeight="1">
      <c r="A16" s="6" t="s">
        <v>132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8.5" customHeight="1">
      <c r="A17" s="6" t="s">
        <v>133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42.75" customHeight="1">
      <c r="A18" s="6" t="s">
        <v>134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8.5" customHeight="1">
      <c r="A19" s="6" t="s">
        <v>135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8.5" customHeight="1">
      <c r="A20" s="6" t="s">
        <v>136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6" t="s">
        <v>123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6" t="s">
        <v>144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8.5" customHeight="1">
      <c r="A24" s="6" t="s">
        <v>137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6" t="s">
        <v>143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6" t="s">
        <v>138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6" t="s">
        <v>139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6" t="s">
        <v>146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6" t="s">
        <v>140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6" t="s">
        <v>141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6" t="s">
        <v>145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8.5" customHeight="1">
      <c r="A32" s="6" t="s">
        <v>142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8.5" customHeight="1">
      <c r="A33" s="6" t="s">
        <v>124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sheetProtection/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Martín</dc:creator>
  <cp:keywords/>
  <dc:description/>
  <cp:lastModifiedBy> Luis Márquez</cp:lastModifiedBy>
  <cp:lastPrinted>2008-09-11T08:16:50Z</cp:lastPrinted>
  <dcterms:created xsi:type="dcterms:W3CDTF">2006-04-04T09:19:27Z</dcterms:created>
  <dcterms:modified xsi:type="dcterms:W3CDTF">2014-06-25T08:04:12Z</dcterms:modified>
  <cp:category/>
  <cp:version/>
  <cp:contentType/>
  <cp:contentStatus/>
</cp:coreProperties>
</file>