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Apero" sheetId="1" r:id="rId1"/>
    <sheet name="Tractor" sheetId="2" r:id="rId2"/>
  </sheets>
  <definedNames>
    <definedName name="EXTRACT" localSheetId="0">'Apero'!$N$29:$AA$39</definedName>
    <definedName name="_xlnm.Print_Area" localSheetId="0">'Apero'!$B$1:$L$55</definedName>
    <definedName name="CRITERIA" localSheetId="0">'Apero'!$N$34:$N$37</definedName>
    <definedName name="Grada_de_discos">'Apero'!$N$110</definedName>
    <definedName name="Z_039E3839_049A_4F05_9EAF_8C8ED138CC23_.wvu.Cols" localSheetId="0" hidden="1">'Apero'!$X:$AC</definedName>
    <definedName name="Z_039E3839_049A_4F05_9EAF_8C8ED138CC23_.wvu.PrintArea" localSheetId="0" hidden="1">'Apero'!$B$1:$L$69</definedName>
  </definedNames>
  <calcPr fullCalcOnLoad="1"/>
</workbook>
</file>

<file path=xl/sharedStrings.xml><?xml version="1.0" encoding="utf-8"?>
<sst xmlns="http://schemas.openxmlformats.org/spreadsheetml/2006/main" count="357" uniqueCount="190">
  <si>
    <t>cm</t>
  </si>
  <si>
    <t>Medio</t>
  </si>
  <si>
    <t>m</t>
  </si>
  <si>
    <t>Baja</t>
  </si>
  <si>
    <t>Alta</t>
  </si>
  <si>
    <t>Velocidad de trabajo</t>
  </si>
  <si>
    <t>km/h</t>
  </si>
  <si>
    <t>Potencia de tracción</t>
  </si>
  <si>
    <t>kW</t>
  </si>
  <si>
    <t>CV</t>
  </si>
  <si>
    <t>Media</t>
  </si>
  <si>
    <t>Pot a la barra i/rod+desliz</t>
  </si>
  <si>
    <t>Capacidad trabajo teórica</t>
  </si>
  <si>
    <t>h/ha</t>
  </si>
  <si>
    <t>Eficiencia</t>
  </si>
  <si>
    <t>Bajo</t>
  </si>
  <si>
    <t>Capacidad trabajo real</t>
  </si>
  <si>
    <t>ha/h</t>
  </si>
  <si>
    <t>Alto</t>
  </si>
  <si>
    <t>Potencia tractor escogido</t>
  </si>
  <si>
    <t>%</t>
  </si>
  <si>
    <t>€/kW</t>
  </si>
  <si>
    <t>Potencia tractor necesaria</t>
  </si>
  <si>
    <t>€</t>
  </si>
  <si>
    <t>h/año</t>
  </si>
  <si>
    <t>horas</t>
  </si>
  <si>
    <t>años</t>
  </si>
  <si>
    <t>Seguros</t>
  </si>
  <si>
    <t>COSTES DE UTILIZACIÓN</t>
  </si>
  <si>
    <t>Resguardo</t>
  </si>
  <si>
    <t>Consumo de combustible</t>
  </si>
  <si>
    <t>L/h</t>
  </si>
  <si>
    <t>€/L</t>
  </si>
  <si>
    <t>L/ha</t>
  </si>
  <si>
    <t>L/h-kW</t>
  </si>
  <si>
    <t>€/h</t>
  </si>
  <si>
    <t>€/ha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</si>
  <si>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</si>
  <si>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</si>
  <si>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</si>
  <si>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</si>
  <si>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</si>
  <si>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</si>
  <si>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</si>
  <si>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</si>
  <si>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</si>
  <si>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</si>
  <si>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Chisel</t>
  </si>
  <si>
    <t>Subsolador</t>
  </si>
  <si>
    <t>Rotocultivador</t>
  </si>
  <si>
    <t>Cultivador</t>
  </si>
  <si>
    <t>Vibrocultivador</t>
  </si>
  <si>
    <t>Grada accionada</t>
  </si>
  <si>
    <t>Grada de discos</t>
  </si>
  <si>
    <t>Anchura de trabajo:</t>
  </si>
  <si>
    <t>PA</t>
  </si>
  <si>
    <t>Potencia</t>
  </si>
  <si>
    <t>Amortizac.</t>
  </si>
  <si>
    <t>tasa interés</t>
  </si>
  <si>
    <t>gasóleo</t>
  </si>
  <si>
    <t>baja</t>
  </si>
  <si>
    <t>media</t>
  </si>
  <si>
    <t>alta</t>
  </si>
  <si>
    <t>Factor carga</t>
  </si>
  <si>
    <t>carga</t>
  </si>
  <si>
    <t>Mantenim- reparaciones</t>
  </si>
  <si>
    <t>factor</t>
  </si>
  <si>
    <t>Consumo (carga media)</t>
  </si>
  <si>
    <t>Costes horarios (€/h)</t>
  </si>
  <si>
    <t>[€/h]</t>
  </si>
  <si>
    <t>Horas año</t>
  </si>
  <si>
    <t>A1</t>
  </si>
  <si>
    <t>A2</t>
  </si>
  <si>
    <t>I</t>
  </si>
  <si>
    <t>S+R</t>
  </si>
  <si>
    <t>Comb.</t>
  </si>
  <si>
    <t>Mant-repar</t>
  </si>
  <si>
    <t>Total</t>
  </si>
  <si>
    <t>s/comb.</t>
  </si>
  <si>
    <t>Costes anuales (€/año)</t>
  </si>
  <si>
    <t>€/año</t>
  </si>
  <si>
    <t>s/comb</t>
  </si>
  <si>
    <t>[L/año]</t>
  </si>
  <si>
    <t>Max</t>
  </si>
  <si>
    <t>Anchura</t>
  </si>
  <si>
    <t>Profundidad</t>
  </si>
  <si>
    <t>Min</t>
  </si>
  <si>
    <t>max</t>
  </si>
  <si>
    <t>min</t>
  </si>
  <si>
    <t>Coef.</t>
  </si>
  <si>
    <t>kg/m</t>
  </si>
  <si>
    <t>M-R</t>
  </si>
  <si>
    <t>Factor M-R</t>
  </si>
  <si>
    <t>Combustible</t>
  </si>
  <si>
    <t>Coste Gasóleo</t>
  </si>
  <si>
    <t xml:space="preserve">Coste apero/máquina </t>
  </si>
  <si>
    <t>Apero</t>
  </si>
  <si>
    <t>Vida útil</t>
  </si>
  <si>
    <t>Precio de adqusición</t>
  </si>
  <si>
    <t>Adqusición</t>
  </si>
  <si>
    <t xml:space="preserve">Eficiencia </t>
  </si>
  <si>
    <t>Nivel de carga (%)</t>
  </si>
  <si>
    <t>Suelo</t>
  </si>
  <si>
    <t>Coste tractor auxiliar</t>
  </si>
  <si>
    <t>Carga recomendada</t>
  </si>
  <si>
    <t>Real</t>
  </si>
  <si>
    <t>Coste apero + tractor</t>
  </si>
  <si>
    <t>Tractor</t>
  </si>
  <si>
    <t>Conjunto</t>
  </si>
  <si>
    <t>Superficie</t>
  </si>
  <si>
    <t xml:space="preserve"> ha/año</t>
  </si>
  <si>
    <t>Arado vertedera/disco</t>
  </si>
  <si>
    <t>Pendientes fuertes (s/n)</t>
  </si>
  <si>
    <t>apero</t>
  </si>
  <si>
    <t>ha/año</t>
  </si>
  <si>
    <t xml:space="preserve">Tractor </t>
  </si>
  <si>
    <t>Utilización tractor</t>
  </si>
  <si>
    <t>Utilización apero</t>
  </si>
  <si>
    <t>s / n</t>
  </si>
  <si>
    <t>propio</t>
  </si>
  <si>
    <t xml:space="preserve">recomendado       </t>
  </si>
  <si>
    <t>Tractor elegido</t>
  </si>
  <si>
    <t>Tractor necesario</t>
  </si>
  <si>
    <t>Tractor (horas/año)</t>
  </si>
  <si>
    <t xml:space="preserve"> h/año</t>
  </si>
  <si>
    <t xml:space="preserve">   anchura (m)</t>
  </si>
  <si>
    <t>velocidad</t>
  </si>
  <si>
    <t>ha/año - apero</t>
  </si>
  <si>
    <t>h/año - tractor</t>
  </si>
  <si>
    <t>Carga real (%)</t>
  </si>
  <si>
    <t>profundidad</t>
  </si>
  <si>
    <t>gasóleo (€/L)</t>
  </si>
  <si>
    <t>Velocidad</t>
  </si>
  <si>
    <t>Amortización</t>
  </si>
  <si>
    <t>Mant-rep.</t>
  </si>
  <si>
    <t>(€/ha)</t>
  </si>
  <si>
    <t>(kg/m)</t>
  </si>
  <si>
    <t>Rodillo</t>
  </si>
  <si>
    <t>Peso</t>
  </si>
  <si>
    <t>Abonadora suspendida</t>
  </si>
  <si>
    <t>Abonadora arrastrada</t>
  </si>
  <si>
    <t>Remolque estiércol</t>
  </si>
  <si>
    <t>Pulverizador suspendido</t>
  </si>
  <si>
    <t>Pulverizador arrastrado</t>
  </si>
  <si>
    <t>Sembradora chorrillo</t>
  </si>
  <si>
    <t>Sembradora chorrillo - SD</t>
  </si>
  <si>
    <t>Sembradora monograno</t>
  </si>
  <si>
    <t>Sembradora hortícolas</t>
  </si>
  <si>
    <t>Plantadora patatas</t>
  </si>
  <si>
    <t>Empacadora convencional</t>
  </si>
  <si>
    <t>Macroempacadora</t>
  </si>
  <si>
    <t>Apero - máquina arrastrada</t>
  </si>
  <si>
    <t>Cisterna purín</t>
  </si>
  <si>
    <t>Atomizador suspendido</t>
  </si>
  <si>
    <t>Atomizador arrastrado</t>
  </si>
  <si>
    <t>Segadora-acondicionadora</t>
  </si>
  <si>
    <t>Rastrilo hilerador-volteador</t>
  </si>
  <si>
    <t>Rotoempacadora</t>
  </si>
  <si>
    <t>Desbrozadora-picadora</t>
  </si>
  <si>
    <t>Fuerza /equivalente</t>
  </si>
  <si>
    <r>
      <t>(</t>
    </r>
    <r>
      <rPr>
        <sz val="9"/>
        <color indexed="12"/>
        <rFont val="Symbol"/>
        <family val="1"/>
      </rPr>
      <t>D</t>
    </r>
    <r>
      <rPr>
        <sz val="9"/>
        <color indexed="12"/>
        <rFont val="Arial"/>
        <family val="0"/>
      </rPr>
      <t xml:space="preserve"> 20%)</t>
    </r>
  </si>
  <si>
    <t>Nivel carga elegido (%)</t>
  </si>
  <si>
    <t>Resist.esp.</t>
  </si>
  <si>
    <t>Resistencia suelo /eqiv.</t>
  </si>
  <si>
    <t>Coeficiente corrector</t>
  </si>
  <si>
    <t>Anchura trabajo</t>
  </si>
  <si>
    <t>Peso máquina (carga equiv.)</t>
  </si>
  <si>
    <t>(€/m-€/t)</t>
  </si>
  <si>
    <t>Tamaño (kg)</t>
  </si>
  <si>
    <t>kPa/ud.</t>
  </si>
  <si>
    <t>Tamaño (L)</t>
  </si>
  <si>
    <t>Profundidad / factor corrector</t>
  </si>
  <si>
    <t>cm/ud.</t>
  </si>
  <si>
    <t>€/m-€/kL</t>
  </si>
  <si>
    <t>kW/m</t>
  </si>
  <si>
    <t>daN/ud.</t>
  </si>
  <si>
    <t>Profundidad / corrección</t>
  </si>
  <si>
    <t>t/h</t>
  </si>
  <si>
    <t>Capacidad</t>
  </si>
  <si>
    <t>Segadora-picadora</t>
  </si>
  <si>
    <t xml:space="preserve">APERO / MÁQUINA: </t>
  </si>
  <si>
    <t>kg/ud.</t>
  </si>
  <si>
    <t>Remoque autocargador</t>
  </si>
  <si>
    <t>Hipótesis / Leyenda</t>
  </si>
  <si>
    <t>total+MO</t>
  </si>
  <si>
    <t>Conjunto+MO</t>
  </si>
  <si>
    <t>Mano de obra (€/h)</t>
  </si>
  <si>
    <t>T+ap</t>
  </si>
  <si>
    <t>Capacidad trabajo</t>
  </si>
  <si>
    <t>real (h/ha)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</si>
</sst>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9"/>
      <name val="Arial"/>
      <family val="0"/>
    </font>
    <font>
      <b/>
      <sz val="9"/>
      <color indexed="12"/>
      <name val="Arial"/>
      <family val="0"/>
    </font>
    <font>
      <b/>
      <sz val="9"/>
      <color indexed="9"/>
      <name val="Arial"/>
      <family val="0"/>
    </font>
    <font>
      <sz val="9"/>
      <color indexed="12"/>
      <name val="Symbol"/>
      <family val="1"/>
    </font>
    <font>
      <b/>
      <sz val="9"/>
      <color indexed="17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sz val="9"/>
      <color indexed="53"/>
      <name val="Arial"/>
      <family val="0"/>
    </font>
    <font>
      <sz val="10"/>
      <color indexed="42"/>
      <name val="Arial"/>
      <family val="0"/>
    </font>
    <font>
      <sz val="5"/>
      <color indexed="42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4.25"/>
      <color indexed="8"/>
      <name val="Arial"/>
      <family val="0"/>
    </font>
    <font>
      <b/>
      <sz val="11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2" fontId="13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hidden="1" locked="0"/>
    </xf>
    <xf numFmtId="1" fontId="12" fillId="0" borderId="10" xfId="0" applyNumberFormat="1" applyFont="1" applyFill="1" applyBorder="1" applyAlignment="1" applyProtection="1">
      <alignment horizontal="center"/>
      <protection hidden="1" locked="0"/>
    </xf>
    <xf numFmtId="1" fontId="16" fillId="0" borderId="1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4" fontId="11" fillId="0" borderId="10" xfId="0" applyNumberFormat="1" applyFont="1" applyFill="1" applyBorder="1" applyAlignment="1" applyProtection="1">
      <alignment horizontal="center"/>
      <protection hidden="1"/>
    </xf>
    <xf numFmtId="164" fontId="13" fillId="0" borderId="10" xfId="0" applyNumberFormat="1" applyFont="1" applyFill="1" applyBorder="1" applyAlignment="1" applyProtection="1">
      <alignment horizontal="center"/>
      <protection hidden="1"/>
    </xf>
    <xf numFmtId="2" fontId="16" fillId="0" borderId="1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 hidden="1"/>
    </xf>
    <xf numFmtId="2" fontId="10" fillId="0" borderId="10" xfId="0" applyNumberFormat="1" applyFont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 locked="0"/>
    </xf>
    <xf numFmtId="1" fontId="9" fillId="0" borderId="1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hidden="1"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64" fontId="10" fillId="0" borderId="10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right"/>
      <protection hidden="1"/>
    </xf>
    <xf numFmtId="1" fontId="10" fillId="0" borderId="20" xfId="0" applyNumberFormat="1" applyFont="1" applyFill="1" applyBorder="1" applyAlignment="1" applyProtection="1">
      <alignment horizontal="center"/>
      <protection hidden="1"/>
    </xf>
    <xf numFmtId="1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6" fillId="0" borderId="23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11" fillId="33" borderId="0" xfId="0" applyNumberFormat="1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1" fontId="16" fillId="0" borderId="15" xfId="0" applyNumberFormat="1" applyFont="1" applyFill="1" applyBorder="1" applyAlignment="1" applyProtection="1">
      <alignment horizontal="right"/>
      <protection hidden="1"/>
    </xf>
    <xf numFmtId="1" fontId="19" fillId="0" borderId="10" xfId="0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 locked="0"/>
    </xf>
    <xf numFmtId="1" fontId="11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2" fontId="11" fillId="35" borderId="0" xfId="0" applyNumberFormat="1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/>
      <protection/>
    </xf>
    <xf numFmtId="2" fontId="13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5" borderId="32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right"/>
      <protection/>
    </xf>
    <xf numFmtId="0" fontId="5" fillId="35" borderId="33" xfId="0" applyFont="1" applyFill="1" applyBorder="1" applyAlignment="1">
      <alignment/>
    </xf>
    <xf numFmtId="0" fontId="23" fillId="35" borderId="33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4" fillId="35" borderId="3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24" fillId="35" borderId="33" xfId="0" applyFont="1" applyFill="1" applyBorder="1" applyAlignment="1" applyProtection="1">
      <alignment/>
      <protection locked="0"/>
    </xf>
    <xf numFmtId="0" fontId="23" fillId="35" borderId="33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35" borderId="33" xfId="0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" fontId="11" fillId="35" borderId="3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35" borderId="33" xfId="0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5" fontId="0" fillId="35" borderId="33" xfId="0" applyNumberFormat="1" applyFill="1" applyBorder="1" applyAlignment="1" applyProtection="1">
      <alignment horizontal="center"/>
      <protection/>
    </xf>
    <xf numFmtId="3" fontId="0" fillId="35" borderId="33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35" borderId="32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35" borderId="33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11" fillId="35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0" fillId="35" borderId="32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 applyProtection="1">
      <alignment/>
      <protection/>
    </xf>
    <xf numFmtId="0" fontId="10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 horizontal="left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  <xf numFmtId="165" fontId="11" fillId="0" borderId="1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2" fontId="11" fillId="35" borderId="40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 horizontal="left"/>
    </xf>
    <xf numFmtId="2" fontId="11" fillId="35" borderId="41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2" fontId="10" fillId="35" borderId="43" xfId="0" applyNumberFormat="1" applyFont="1" applyFill="1" applyBorder="1" applyAlignment="1">
      <alignment horizontal="center"/>
    </xf>
    <xf numFmtId="2" fontId="13" fillId="35" borderId="44" xfId="0" applyNumberFormat="1" applyFont="1" applyFill="1" applyBorder="1" applyAlignment="1">
      <alignment horizontal="center"/>
    </xf>
    <xf numFmtId="2" fontId="12" fillId="35" borderId="44" xfId="0" applyNumberFormat="1" applyFont="1" applyFill="1" applyBorder="1" applyAlignment="1">
      <alignment/>
    </xf>
    <xf numFmtId="0" fontId="14" fillId="35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1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Costes unitarios (€/ha)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875"/>
          <c:w val="0.910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Apero!$G$72</c:f>
              <c:strCache>
                <c:ptCount val="1"/>
                <c:pt idx="0">
                  <c:v>apero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Apero!$G$73:$G$89</c:f>
              <c:numCache/>
            </c:numRef>
          </c:yVal>
          <c:smooth val="1"/>
        </c:ser>
        <c:ser>
          <c:idx val="1"/>
          <c:order val="1"/>
          <c:tx>
            <c:strRef>
              <c:f>Apero!$H$72</c:f>
              <c:strCache>
                <c:ptCount val="1"/>
                <c:pt idx="0">
                  <c:v>T+ap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Apero!$H$73:$H$89</c:f>
              <c:numCache/>
            </c:numRef>
          </c:yVal>
          <c:smooth val="1"/>
        </c:ser>
        <c:ser>
          <c:idx val="2"/>
          <c:order val="2"/>
          <c:tx>
            <c:strRef>
              <c:f>Apero!$I$72</c:f>
              <c:strCache>
                <c:ptCount val="1"/>
                <c:pt idx="0">
                  <c:v>total+MO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0000"/>
                </a:solidFill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Apero!$I$73:$I$89</c:f>
              <c:numCache/>
            </c:numRef>
          </c:yVal>
          <c:smooth val="1"/>
        </c:ser>
        <c:axId val="30316464"/>
        <c:axId val="4412721"/>
      </c:scatterChart>
      <c:valAx>
        <c:axId val="3031646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 apero (ha/año)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crossBetween val="midCat"/>
        <c:dispUnits/>
      </c:valAx>
      <c:valAx>
        <c:axId val="44127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Costes (€/ha)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1635"/>
          <c:w val="0.412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anual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475"/>
          <c:w val="0.89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Tractor!$I$37:$I$56</c:f>
              <c:numCache/>
            </c:numRef>
          </c:yVal>
          <c:smooth val="1"/>
        </c:ser>
        <c:ser>
          <c:idx val="1"/>
          <c:order val="1"/>
          <c:tx>
            <c:strRef>
              <c:f>Tractor!$J$36</c:f>
              <c:strCache>
                <c:ptCount val="1"/>
                <c:pt idx="0">
                  <c:v>s/comb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Tractor!$J$37:$J$56</c:f>
              <c:numCache/>
            </c:numRef>
          </c:yVal>
          <c:smooth val="1"/>
        </c:ser>
        <c:axId val="39714490"/>
        <c:axId val="21886091"/>
      </c:scatterChart>
      <c:valAx>
        <c:axId val="39714490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crossBetween val="midCat"/>
        <c:dispUnits/>
        <c:majorUnit val="500"/>
        <c:minorUnit val="100"/>
      </c:valAx>
      <c:valAx>
        <c:axId val="21886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anual (€/año)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4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18675"/>
          <c:w val="0.293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horario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5"/>
          <c:w val="0.90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Tractor!$I$13:$I$32</c:f>
              <c:numCache/>
            </c:numRef>
          </c:yVal>
          <c:smooth val="1"/>
        </c:ser>
        <c:ser>
          <c:idx val="1"/>
          <c:order val="1"/>
          <c:tx>
            <c:strRef>
              <c:f>Tractor!$J$12</c:f>
              <c:strCache>
                <c:ptCount val="1"/>
                <c:pt idx="0">
                  <c:v>s/comb.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Tractor!$J$13:$J$32</c:f>
              <c:numCache/>
            </c:numRef>
          </c:yVal>
          <c:smooth val="1"/>
        </c:ser>
        <c:axId val="62757092"/>
        <c:axId val="27942917"/>
      </c:scatterChart>
      <c:valAx>
        <c:axId val="62757092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 val="autoZero"/>
        <c:crossBetween val="midCat"/>
        <c:dispUnits/>
      </c:valAx>
      <c:valAx>
        <c:axId val="27942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horario (€)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"/>
          <c:y val="0.25175"/>
          <c:w val="0.304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8.jpeg" /><Relationship Id="rId3" Type="http://schemas.openxmlformats.org/officeDocument/2006/relationships/image" Target="../media/image21.emf" /><Relationship Id="rId4" Type="http://schemas.openxmlformats.org/officeDocument/2006/relationships/image" Target="../media/image4.emf" /><Relationship Id="rId5" Type="http://schemas.openxmlformats.org/officeDocument/2006/relationships/image" Target="../media/image23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32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37.emf" /><Relationship Id="rId13" Type="http://schemas.openxmlformats.org/officeDocument/2006/relationships/image" Target="../media/image15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3.emf" /><Relationship Id="rId18" Type="http://schemas.openxmlformats.org/officeDocument/2006/relationships/image" Target="../media/image31.emf" /><Relationship Id="rId19" Type="http://schemas.openxmlformats.org/officeDocument/2006/relationships/image" Target="../media/image17.emf" /><Relationship Id="rId20" Type="http://schemas.openxmlformats.org/officeDocument/2006/relationships/image" Target="../media/image35.emf" /><Relationship Id="rId21" Type="http://schemas.openxmlformats.org/officeDocument/2006/relationships/image" Target="../media/image28.emf" /><Relationship Id="rId22" Type="http://schemas.openxmlformats.org/officeDocument/2006/relationships/image" Target="../media/image19.emf" /><Relationship Id="rId23" Type="http://schemas.openxmlformats.org/officeDocument/2006/relationships/image" Target="../media/image34.emf" /><Relationship Id="rId24" Type="http://schemas.openxmlformats.org/officeDocument/2006/relationships/image" Target="../media/image14.emf" /><Relationship Id="rId25" Type="http://schemas.openxmlformats.org/officeDocument/2006/relationships/image" Target="../media/image24.emf" /><Relationship Id="rId26" Type="http://schemas.openxmlformats.org/officeDocument/2006/relationships/image" Target="../media/image3.emf" /><Relationship Id="rId27" Type="http://schemas.openxmlformats.org/officeDocument/2006/relationships/image" Target="../media/image29.emf" /><Relationship Id="rId28" Type="http://schemas.openxmlformats.org/officeDocument/2006/relationships/image" Target="../media/image6.emf" /><Relationship Id="rId29" Type="http://schemas.openxmlformats.org/officeDocument/2006/relationships/image" Target="../media/image22.emf" /><Relationship Id="rId30" Type="http://schemas.openxmlformats.org/officeDocument/2006/relationships/image" Target="../media/image33.emf" /><Relationship Id="rId31" Type="http://schemas.openxmlformats.org/officeDocument/2006/relationships/image" Target="../media/image16.emf" /><Relationship Id="rId32" Type="http://schemas.openxmlformats.org/officeDocument/2006/relationships/image" Target="../media/image10.emf" /><Relationship Id="rId33" Type="http://schemas.openxmlformats.org/officeDocument/2006/relationships/image" Target="../media/image1.emf" /><Relationship Id="rId3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70</xdr:row>
      <xdr:rowOff>47625</xdr:rowOff>
    </xdr:from>
    <xdr:to>
      <xdr:col>10</xdr:col>
      <xdr:colOff>981075</xdr:colOff>
      <xdr:row>89</xdr:row>
      <xdr:rowOff>123825</xdr:rowOff>
    </xdr:to>
    <xdr:graphicFrame>
      <xdr:nvGraphicFramePr>
        <xdr:cNvPr id="1" name="Chart 46"/>
        <xdr:cNvGraphicFramePr/>
      </xdr:nvGraphicFramePr>
      <xdr:xfrm>
        <a:off x="1819275" y="11391900"/>
        <a:ext cx="468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323850</xdr:colOff>
      <xdr:row>0</xdr:row>
      <xdr:rowOff>9525</xdr:rowOff>
    </xdr:from>
    <xdr:to>
      <xdr:col>12</xdr:col>
      <xdr:colOff>19050</xdr:colOff>
      <xdr:row>2</xdr:row>
      <xdr:rowOff>142875</xdr:rowOff>
    </xdr:to>
    <xdr:pic>
      <xdr:nvPicPr>
        <xdr:cNvPr id="2" name="2 Imagen" descr="cabecera.jpg"/>
        <xdr:cNvPicPr preferRelativeResize="1">
          <a:picLocks noChangeAspect="1"/>
        </xdr:cNvPicPr>
      </xdr:nvPicPr>
      <xdr:blipFill>
        <a:blip r:embed="rId2"/>
        <a:srcRect r="11381"/>
        <a:stretch>
          <a:fillRect/>
        </a:stretch>
      </xdr:blipFill>
      <xdr:spPr>
        <a:xfrm>
          <a:off x="4229100" y="9525"/>
          <a:ext cx="2638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4</xdr:row>
      <xdr:rowOff>28575</xdr:rowOff>
    </xdr:from>
    <xdr:to>
      <xdr:col>8</xdr:col>
      <xdr:colOff>257175</xdr:colOff>
      <xdr:row>5</xdr:row>
      <xdr:rowOff>9525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7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5</xdr:row>
      <xdr:rowOff>38100</xdr:rowOff>
    </xdr:from>
    <xdr:to>
      <xdr:col>8</xdr:col>
      <xdr:colOff>238125</xdr:colOff>
      <xdr:row>6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847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</xdr:row>
      <xdr:rowOff>28575</xdr:rowOff>
    </xdr:from>
    <xdr:to>
      <xdr:col>8</xdr:col>
      <xdr:colOff>228600</xdr:colOff>
      <xdr:row>6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9</xdr:row>
      <xdr:rowOff>19050</xdr:rowOff>
    </xdr:from>
    <xdr:to>
      <xdr:col>8</xdr:col>
      <xdr:colOff>228600</xdr:colOff>
      <xdr:row>10</xdr:row>
      <xdr:rowOff>0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19050</xdr:rowOff>
    </xdr:from>
    <xdr:to>
      <xdr:col>8</xdr:col>
      <xdr:colOff>219075</xdr:colOff>
      <xdr:row>11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1638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11</xdr:row>
      <xdr:rowOff>38100</xdr:rowOff>
    </xdr:from>
    <xdr:to>
      <xdr:col>8</xdr:col>
      <xdr:colOff>228600</xdr:colOff>
      <xdr:row>11</xdr:row>
      <xdr:rowOff>161925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1819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15</xdr:row>
      <xdr:rowOff>19050</xdr:rowOff>
    </xdr:from>
    <xdr:to>
      <xdr:col>8</xdr:col>
      <xdr:colOff>295275</xdr:colOff>
      <xdr:row>16</xdr:row>
      <xdr:rowOff>0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44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16</xdr:row>
      <xdr:rowOff>28575</xdr:rowOff>
    </xdr:from>
    <xdr:to>
      <xdr:col>8</xdr:col>
      <xdr:colOff>295275</xdr:colOff>
      <xdr:row>17</xdr:row>
      <xdr:rowOff>9525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17</xdr:row>
      <xdr:rowOff>38100</xdr:rowOff>
    </xdr:from>
    <xdr:to>
      <xdr:col>8</xdr:col>
      <xdr:colOff>295275</xdr:colOff>
      <xdr:row>18</xdr:row>
      <xdr:rowOff>19050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2" name="OptionButton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3" name="OptionButton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7</xdr:col>
      <xdr:colOff>152400</xdr:colOff>
      <xdr:row>2</xdr:row>
      <xdr:rowOff>57150</xdr:rowOff>
    </xdr:to>
    <xdr:pic>
      <xdr:nvPicPr>
        <xdr:cNvPr id="14" name="Combo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90775" y="171450"/>
          <a:ext cx="1666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</xdr:rowOff>
    </xdr:from>
    <xdr:to>
      <xdr:col>6</xdr:col>
      <xdr:colOff>266700</xdr:colOff>
      <xdr:row>6</xdr:row>
      <xdr:rowOff>95250</xdr:rowOff>
    </xdr:to>
    <xdr:pic>
      <xdr:nvPicPr>
        <xdr:cNvPr id="15" name="ScrollBar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4953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0</xdr:rowOff>
    </xdr:from>
    <xdr:to>
      <xdr:col>6</xdr:col>
      <xdr:colOff>266700</xdr:colOff>
      <xdr:row>10</xdr:row>
      <xdr:rowOff>76200</xdr:rowOff>
    </xdr:to>
    <xdr:pic>
      <xdr:nvPicPr>
        <xdr:cNvPr id="16" name="ScrollBar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67075" y="11334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76200</xdr:rowOff>
    </xdr:from>
    <xdr:to>
      <xdr:col>9</xdr:col>
      <xdr:colOff>466725</xdr:colOff>
      <xdr:row>27</xdr:row>
      <xdr:rowOff>95250</xdr:rowOff>
    </xdr:to>
    <xdr:pic>
      <xdr:nvPicPr>
        <xdr:cNvPr id="17" name="ScrollBar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4286250"/>
          <a:ext cx="1447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9525</xdr:rowOff>
    </xdr:from>
    <xdr:to>
      <xdr:col>9</xdr:col>
      <xdr:colOff>476250</xdr:colOff>
      <xdr:row>33</xdr:row>
      <xdr:rowOff>152400</xdr:rowOff>
    </xdr:to>
    <xdr:pic>
      <xdr:nvPicPr>
        <xdr:cNvPr id="18" name="ScrollBar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81450" y="5353050"/>
          <a:ext cx="1381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409575</xdr:colOff>
      <xdr:row>19</xdr:row>
      <xdr:rowOff>9525</xdr:rowOff>
    </xdr:to>
    <xdr:pic>
      <xdr:nvPicPr>
        <xdr:cNvPr id="19" name="ScrollBar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2924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200025</xdr:colOff>
      <xdr:row>22</xdr:row>
      <xdr:rowOff>9525</xdr:rowOff>
    </xdr:to>
    <xdr:pic>
      <xdr:nvPicPr>
        <xdr:cNvPr id="20" name="Option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12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28575</xdr:rowOff>
    </xdr:from>
    <xdr:to>
      <xdr:col>3</xdr:col>
      <xdr:colOff>390525</xdr:colOff>
      <xdr:row>22</xdr:row>
      <xdr:rowOff>9525</xdr:rowOff>
    </xdr:to>
    <xdr:pic>
      <xdr:nvPicPr>
        <xdr:cNvPr id="21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717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37</xdr:row>
      <xdr:rowOff>19050</xdr:rowOff>
    </xdr:from>
    <xdr:to>
      <xdr:col>3</xdr:col>
      <xdr:colOff>361950</xdr:colOff>
      <xdr:row>37</xdr:row>
      <xdr:rowOff>142875</xdr:rowOff>
    </xdr:to>
    <xdr:pic>
      <xdr:nvPicPr>
        <xdr:cNvPr id="22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71700" y="601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</xdr:row>
      <xdr:rowOff>28575</xdr:rowOff>
    </xdr:from>
    <xdr:to>
      <xdr:col>5</xdr:col>
      <xdr:colOff>247650</xdr:colOff>
      <xdr:row>37</xdr:row>
      <xdr:rowOff>142875</xdr:rowOff>
    </xdr:to>
    <xdr:pic>
      <xdr:nvPicPr>
        <xdr:cNvPr id="23" name="OptionButton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90850" y="60198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76200</xdr:rowOff>
    </xdr:from>
    <xdr:to>
      <xdr:col>7</xdr:col>
      <xdr:colOff>476250</xdr:colOff>
      <xdr:row>25</xdr:row>
      <xdr:rowOff>66675</xdr:rowOff>
    </xdr:to>
    <xdr:pic>
      <xdr:nvPicPr>
        <xdr:cNvPr id="24" name="Toggle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90975" y="380047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74</xdr:row>
      <xdr:rowOff>66675</xdr:rowOff>
    </xdr:from>
    <xdr:to>
      <xdr:col>2</xdr:col>
      <xdr:colOff>762000</xdr:colOff>
      <xdr:row>88</xdr:row>
      <xdr:rowOff>152400</xdr:rowOff>
    </xdr:to>
    <xdr:pic>
      <xdr:nvPicPr>
        <xdr:cNvPr id="25" name="ScrollBar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12058650"/>
          <a:ext cx="152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92</xdr:row>
      <xdr:rowOff>9525</xdr:rowOff>
    </xdr:from>
    <xdr:to>
      <xdr:col>10</xdr:col>
      <xdr:colOff>0</xdr:colOff>
      <xdr:row>93</xdr:row>
      <xdr:rowOff>28575</xdr:rowOff>
    </xdr:to>
    <xdr:pic>
      <xdr:nvPicPr>
        <xdr:cNvPr id="26" name="ScrollBar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14916150"/>
          <a:ext cx="1562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91</xdr:row>
      <xdr:rowOff>0</xdr:rowOff>
    </xdr:from>
    <xdr:to>
      <xdr:col>3</xdr:col>
      <xdr:colOff>428625</xdr:colOff>
      <xdr:row>92</xdr:row>
      <xdr:rowOff>142875</xdr:rowOff>
    </xdr:to>
    <xdr:pic>
      <xdr:nvPicPr>
        <xdr:cNvPr id="27" name="ToggleButton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71675" y="147447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76</xdr:row>
      <xdr:rowOff>66675</xdr:rowOff>
    </xdr:from>
    <xdr:to>
      <xdr:col>2</xdr:col>
      <xdr:colOff>295275</xdr:colOff>
      <xdr:row>86</xdr:row>
      <xdr:rowOff>47625</xdr:rowOff>
    </xdr:to>
    <xdr:pic>
      <xdr:nvPicPr>
        <xdr:cNvPr id="28" name="ScrollBar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12382500"/>
          <a:ext cx="180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67</xdr:row>
      <xdr:rowOff>19050</xdr:rowOff>
    </xdr:from>
    <xdr:to>
      <xdr:col>2</xdr:col>
      <xdr:colOff>1085850</xdr:colOff>
      <xdr:row>67</xdr:row>
      <xdr:rowOff>142875</xdr:rowOff>
    </xdr:to>
    <xdr:pic>
      <xdr:nvPicPr>
        <xdr:cNvPr id="29" name="ScrollBar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0877550"/>
          <a:ext cx="1381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69</xdr:row>
      <xdr:rowOff>19050</xdr:rowOff>
    </xdr:from>
    <xdr:to>
      <xdr:col>2</xdr:col>
      <xdr:colOff>1114425</xdr:colOff>
      <xdr:row>69</xdr:row>
      <xdr:rowOff>133350</xdr:rowOff>
    </xdr:to>
    <xdr:pic>
      <xdr:nvPicPr>
        <xdr:cNvPr id="30" name="ScrollBar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11201400"/>
          <a:ext cx="1419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89</xdr:row>
      <xdr:rowOff>19050</xdr:rowOff>
    </xdr:from>
    <xdr:to>
      <xdr:col>1</xdr:col>
      <xdr:colOff>400050</xdr:colOff>
      <xdr:row>92</xdr:row>
      <xdr:rowOff>123825</xdr:rowOff>
    </xdr:to>
    <xdr:pic>
      <xdr:nvPicPr>
        <xdr:cNvPr id="31" name="ScrollBar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7650" y="1443990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38100</xdr:rowOff>
    </xdr:from>
    <xdr:to>
      <xdr:col>10</xdr:col>
      <xdr:colOff>485775</xdr:colOff>
      <xdr:row>31</xdr:row>
      <xdr:rowOff>133350</xdr:rowOff>
    </xdr:to>
    <xdr:pic>
      <xdr:nvPicPr>
        <xdr:cNvPr id="32" name="SpinButton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62625" y="48958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70</xdr:row>
      <xdr:rowOff>38100</xdr:rowOff>
    </xdr:from>
    <xdr:to>
      <xdr:col>2</xdr:col>
      <xdr:colOff>1009650</xdr:colOff>
      <xdr:row>71</xdr:row>
      <xdr:rowOff>133350</xdr:rowOff>
    </xdr:to>
    <xdr:pic>
      <xdr:nvPicPr>
        <xdr:cNvPr id="33" name="SpinButton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09700" y="11382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67</xdr:row>
      <xdr:rowOff>28575</xdr:rowOff>
    </xdr:from>
    <xdr:to>
      <xdr:col>10</xdr:col>
      <xdr:colOff>933450</xdr:colOff>
      <xdr:row>68</xdr:row>
      <xdr:rowOff>19050</xdr:rowOff>
    </xdr:to>
    <xdr:pic>
      <xdr:nvPicPr>
        <xdr:cNvPr id="34" name="ScrollBar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10225" y="108870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61</xdr:row>
      <xdr:rowOff>19050</xdr:rowOff>
    </xdr:from>
    <xdr:to>
      <xdr:col>2</xdr:col>
      <xdr:colOff>1257300</xdr:colOff>
      <xdr:row>61</xdr:row>
      <xdr:rowOff>152400</xdr:rowOff>
    </xdr:to>
    <xdr:pic>
      <xdr:nvPicPr>
        <xdr:cNvPr id="35" name="ScrollBar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5800" y="9906000"/>
          <a:ext cx="1219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33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8229600" y="5391150"/>
        <a:ext cx="5162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11</xdr:row>
      <xdr:rowOff>38100</xdr:rowOff>
    </xdr:from>
    <xdr:to>
      <xdr:col>17</xdr:col>
      <xdr:colOff>590550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220075" y="1819275"/>
        <a:ext cx="5095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3</xdr:row>
      <xdr:rowOff>28575</xdr:rowOff>
    </xdr:from>
    <xdr:to>
      <xdr:col>9</xdr:col>
      <xdr:colOff>742950</xdr:colOff>
      <xdr:row>5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1435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28575</xdr:rowOff>
    </xdr:from>
    <xdr:to>
      <xdr:col>6</xdr:col>
      <xdr:colOff>0</xdr:colOff>
      <xdr:row>9</xdr:row>
      <xdr:rowOff>152400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32397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H111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6.8515625" style="3" customWidth="1"/>
    <col min="3" max="3" width="19.140625" style="3" customWidth="1"/>
    <col min="4" max="4" width="6.8515625" style="3" customWidth="1"/>
    <col min="5" max="5" width="7.7109375" style="7" customWidth="1"/>
    <col min="6" max="6" width="7.57421875" style="7" customWidth="1"/>
    <col min="7" max="7" width="7.57421875" style="3" customWidth="1"/>
    <col min="8" max="8" width="7.57421875" style="9" customWidth="1"/>
    <col min="9" max="9" width="7.140625" style="3" customWidth="1"/>
    <col min="10" max="10" width="9.57421875" style="3" customWidth="1"/>
    <col min="11" max="11" width="15.421875" style="3" customWidth="1"/>
    <col min="12" max="12" width="4.421875" style="10" customWidth="1"/>
    <col min="13" max="13" width="5.57421875" style="10" customWidth="1"/>
    <col min="14" max="14" width="29.8515625" style="3" customWidth="1"/>
    <col min="15" max="15" width="6.421875" style="7" customWidth="1"/>
    <col min="16" max="16" width="11.28125" style="7" customWidth="1"/>
    <col min="17" max="17" width="7.421875" style="7" customWidth="1"/>
    <col min="18" max="18" width="7.57421875" style="7" customWidth="1"/>
    <col min="19" max="21" width="7.421875" style="7" customWidth="1"/>
    <col min="22" max="22" width="8.140625" style="3" customWidth="1"/>
    <col min="23" max="23" width="6.28125" style="3" customWidth="1"/>
    <col min="24" max="24" width="7.00390625" style="4" customWidth="1"/>
    <col min="25" max="25" width="11.57421875" style="3" customWidth="1"/>
    <col min="26" max="26" width="11.421875" style="3" customWidth="1"/>
    <col min="27" max="27" width="13.140625" style="3" customWidth="1"/>
    <col min="28" max="32" width="0" style="3" hidden="1" customWidth="1"/>
    <col min="33" max="16384" width="11.421875" style="3" customWidth="1"/>
  </cols>
  <sheetData>
    <row r="1" spans="1:12" ht="12.75" customHeight="1">
      <c r="A1" s="259"/>
      <c r="B1" s="260"/>
      <c r="C1" s="261"/>
      <c r="D1" s="261"/>
      <c r="E1" s="262"/>
      <c r="F1" s="263"/>
      <c r="G1" s="264"/>
      <c r="H1" s="264"/>
      <c r="I1" s="260"/>
      <c r="J1" s="260"/>
      <c r="K1" s="260"/>
      <c r="L1" s="265"/>
    </row>
    <row r="2" spans="1:12" ht="12.75" customHeight="1">
      <c r="A2" s="177"/>
      <c r="B2" s="170"/>
      <c r="C2" s="174" t="s">
        <v>180</v>
      </c>
      <c r="D2" s="178"/>
      <c r="E2" s="175"/>
      <c r="F2" s="180"/>
      <c r="G2" s="179"/>
      <c r="H2" s="179"/>
      <c r="I2" s="170"/>
      <c r="J2" s="164"/>
      <c r="K2" s="170"/>
      <c r="L2" s="182"/>
    </row>
    <row r="3" spans="1:12" ht="12.75" customHeight="1">
      <c r="A3" s="177"/>
      <c r="B3" s="170"/>
      <c r="C3" s="178"/>
      <c r="D3" s="178"/>
      <c r="E3" s="179"/>
      <c r="F3" s="168"/>
      <c r="G3" s="180"/>
      <c r="H3" s="164"/>
      <c r="I3" s="164"/>
      <c r="J3" s="164"/>
      <c r="K3" s="181"/>
      <c r="L3" s="182"/>
    </row>
    <row r="4" spans="1:24" ht="12.75" customHeight="1" thickBot="1">
      <c r="A4" s="177"/>
      <c r="B4" s="173"/>
      <c r="C4" s="174"/>
      <c r="D4" s="174" t="s">
        <v>87</v>
      </c>
      <c r="E4" s="48">
        <f>+P110</f>
        <v>800</v>
      </c>
      <c r="F4" s="61"/>
      <c r="G4" s="176"/>
      <c r="H4" s="61"/>
      <c r="I4" s="63"/>
      <c r="J4" s="48" t="str">
        <f>+AC110</f>
        <v>Suelo</v>
      </c>
      <c r="K4" s="48" t="str">
        <f>+AB110</f>
        <v>Resist.esp.</v>
      </c>
      <c r="L4" s="183"/>
      <c r="N4" s="5"/>
      <c r="O4" s="5"/>
      <c r="P4" s="329" t="s">
        <v>84</v>
      </c>
      <c r="Q4" s="329"/>
      <c r="R4" s="329" t="s">
        <v>85</v>
      </c>
      <c r="S4" s="329"/>
      <c r="T4" s="329" t="s">
        <v>132</v>
      </c>
      <c r="U4" s="329"/>
      <c r="V4" s="5"/>
      <c r="W4" s="330" t="s">
        <v>133</v>
      </c>
      <c r="X4" s="330"/>
    </row>
    <row r="5" spans="1:32" ht="12.75" customHeight="1">
      <c r="A5" s="177"/>
      <c r="B5" s="173"/>
      <c r="C5" s="174" t="s">
        <v>54</v>
      </c>
      <c r="D5" s="184">
        <v>252</v>
      </c>
      <c r="E5" s="49">
        <f>IF(D5&lt;E6,E6,IF(D5&lt;E4,D5,E4))</f>
        <v>300</v>
      </c>
      <c r="F5" s="185" t="s">
        <v>0</v>
      </c>
      <c r="G5" s="175"/>
      <c r="H5" s="57"/>
      <c r="I5" s="173"/>
      <c r="J5" s="56" t="str">
        <f>+IF(O110=28,"sin acond.","baja")</f>
        <v>baja</v>
      </c>
      <c r="K5" s="54">
        <f>+AD111</f>
        <v>40</v>
      </c>
      <c r="L5" s="186" t="b">
        <v>0</v>
      </c>
      <c r="N5" s="279" t="s">
        <v>151</v>
      </c>
      <c r="O5" s="8"/>
      <c r="P5" s="291" t="s">
        <v>83</v>
      </c>
      <c r="Q5" s="292" t="s">
        <v>86</v>
      </c>
      <c r="R5" s="292" t="s">
        <v>83</v>
      </c>
      <c r="S5" s="292" t="s">
        <v>86</v>
      </c>
      <c r="T5" s="293" t="s">
        <v>86</v>
      </c>
      <c r="U5" s="294" t="s">
        <v>83</v>
      </c>
      <c r="V5" s="292" t="s">
        <v>89</v>
      </c>
      <c r="W5" s="295" t="s">
        <v>71</v>
      </c>
      <c r="X5" s="296" t="s">
        <v>72</v>
      </c>
      <c r="Y5" s="292" t="s">
        <v>134</v>
      </c>
      <c r="Z5" s="292" t="s">
        <v>99</v>
      </c>
      <c r="AA5" s="297" t="s">
        <v>138</v>
      </c>
      <c r="AB5" s="327" t="s">
        <v>183</v>
      </c>
      <c r="AC5" s="327"/>
      <c r="AD5" s="327"/>
      <c r="AE5" s="327"/>
      <c r="AF5" s="328"/>
    </row>
    <row r="6" spans="1:32" ht="12.75" customHeight="1" thickBot="1">
      <c r="A6" s="177"/>
      <c r="B6" s="173"/>
      <c r="C6" s="174"/>
      <c r="D6" s="174" t="s">
        <v>88</v>
      </c>
      <c r="E6" s="48">
        <f>+Q110</f>
        <v>300</v>
      </c>
      <c r="F6" s="185"/>
      <c r="G6" s="175"/>
      <c r="H6" s="57"/>
      <c r="I6" s="173"/>
      <c r="J6" s="56" t="str">
        <f>+IF(O110=28,"con acond.","media")</f>
        <v>media</v>
      </c>
      <c r="K6" s="54">
        <f>+AE111</f>
        <v>60</v>
      </c>
      <c r="L6" s="186" t="b">
        <v>1</v>
      </c>
      <c r="N6" s="280"/>
      <c r="O6" s="307"/>
      <c r="P6" s="298" t="s">
        <v>0</v>
      </c>
      <c r="Q6" s="269" t="s">
        <v>0</v>
      </c>
      <c r="R6" s="269" t="s">
        <v>0</v>
      </c>
      <c r="S6" s="269" t="s">
        <v>0</v>
      </c>
      <c r="T6" s="270" t="s">
        <v>6</v>
      </c>
      <c r="U6" s="256" t="s">
        <v>6</v>
      </c>
      <c r="V6" s="271"/>
      <c r="W6" s="272" t="s">
        <v>25</v>
      </c>
      <c r="X6" s="271" t="s">
        <v>26</v>
      </c>
      <c r="Y6" s="271" t="s">
        <v>135</v>
      </c>
      <c r="Z6" s="271" t="s">
        <v>167</v>
      </c>
      <c r="AA6" s="299" t="s">
        <v>136</v>
      </c>
      <c r="AB6" s="165"/>
      <c r="AC6" s="165"/>
      <c r="AD6" s="165"/>
      <c r="AE6" s="165"/>
      <c r="AF6" s="166"/>
    </row>
    <row r="7" spans="1:32" ht="12.75" customHeight="1">
      <c r="A7" s="177"/>
      <c r="B7" s="173"/>
      <c r="C7" s="174"/>
      <c r="D7" s="174"/>
      <c r="E7" s="61"/>
      <c r="F7" s="185"/>
      <c r="G7" s="175"/>
      <c r="H7" s="57"/>
      <c r="I7" s="173"/>
      <c r="J7" s="56" t="str">
        <f>+IF(O111=28,"","alta")</f>
        <v>alta</v>
      </c>
      <c r="K7" s="54">
        <f>+AF111</f>
        <v>80</v>
      </c>
      <c r="L7" s="186" t="b">
        <v>0</v>
      </c>
      <c r="N7" s="273" t="s">
        <v>111</v>
      </c>
      <c r="O7" s="283">
        <v>1</v>
      </c>
      <c r="P7" s="153">
        <v>240</v>
      </c>
      <c r="Q7" s="152">
        <v>40</v>
      </c>
      <c r="R7" s="154">
        <v>32</v>
      </c>
      <c r="S7" s="154">
        <v>18</v>
      </c>
      <c r="T7" s="155">
        <v>3</v>
      </c>
      <c r="U7" s="155">
        <v>8</v>
      </c>
      <c r="V7" s="155">
        <v>1</v>
      </c>
      <c r="W7" s="152">
        <v>3000</v>
      </c>
      <c r="X7" s="152">
        <v>20</v>
      </c>
      <c r="Y7" s="156">
        <v>6</v>
      </c>
      <c r="Z7" s="152">
        <v>8000</v>
      </c>
      <c r="AA7" s="300">
        <v>1000</v>
      </c>
      <c r="AB7" s="286" t="s">
        <v>162</v>
      </c>
      <c r="AC7" s="140" t="s">
        <v>102</v>
      </c>
      <c r="AD7" s="140">
        <v>40</v>
      </c>
      <c r="AE7" s="140">
        <v>60</v>
      </c>
      <c r="AF7" s="150">
        <v>80</v>
      </c>
    </row>
    <row r="8" spans="1:32" ht="12.75" customHeight="1">
      <c r="A8" s="177"/>
      <c r="B8" s="173"/>
      <c r="C8" s="174"/>
      <c r="D8" s="174" t="s">
        <v>87</v>
      </c>
      <c r="E8" s="48">
        <f>+R110</f>
        <v>15</v>
      </c>
      <c r="F8" s="176"/>
      <c r="G8" s="176"/>
      <c r="H8" s="175"/>
      <c r="I8" s="63"/>
      <c r="J8" s="63"/>
      <c r="K8" s="187"/>
      <c r="L8" s="183"/>
      <c r="N8" s="274" t="s">
        <v>47</v>
      </c>
      <c r="O8" s="284">
        <v>2</v>
      </c>
      <c r="P8" s="142">
        <v>600</v>
      </c>
      <c r="Q8" s="48">
        <v>300</v>
      </c>
      <c r="R8" s="116">
        <v>25</v>
      </c>
      <c r="S8" s="116">
        <v>18</v>
      </c>
      <c r="T8" s="135">
        <v>5</v>
      </c>
      <c r="U8" s="135">
        <v>11</v>
      </c>
      <c r="V8" s="135">
        <v>0.5</v>
      </c>
      <c r="W8" s="48">
        <v>3000</v>
      </c>
      <c r="X8" s="48">
        <v>20</v>
      </c>
      <c r="Y8" s="55">
        <v>1.1</v>
      </c>
      <c r="Z8" s="48">
        <v>2500</v>
      </c>
      <c r="AA8" s="161">
        <v>250</v>
      </c>
      <c r="AB8" s="287" t="s">
        <v>162</v>
      </c>
      <c r="AC8" s="48" t="s">
        <v>102</v>
      </c>
      <c r="AD8" s="48">
        <v>40</v>
      </c>
      <c r="AE8" s="48">
        <v>60</v>
      </c>
      <c r="AF8" s="161">
        <v>80</v>
      </c>
    </row>
    <row r="9" spans="1:32" ht="12.75" customHeight="1">
      <c r="A9" s="177"/>
      <c r="B9" s="173"/>
      <c r="C9" s="174" t="s">
        <v>171</v>
      </c>
      <c r="D9" s="184">
        <v>2</v>
      </c>
      <c r="E9" s="49">
        <f>IF(D9&lt;E10,E10,IF(D9&gt;E8,E8,D9))</f>
        <v>10</v>
      </c>
      <c r="F9" s="185" t="s">
        <v>172</v>
      </c>
      <c r="G9" s="173"/>
      <c r="H9" s="173"/>
      <c r="I9" s="173"/>
      <c r="J9" s="322" t="s">
        <v>100</v>
      </c>
      <c r="K9" s="322">
        <v>149</v>
      </c>
      <c r="L9" s="183"/>
      <c r="N9" s="275" t="s">
        <v>48</v>
      </c>
      <c r="O9" s="284">
        <v>3</v>
      </c>
      <c r="P9" s="301">
        <v>400</v>
      </c>
      <c r="Q9" s="48">
        <v>100</v>
      </c>
      <c r="R9" s="116">
        <v>65</v>
      </c>
      <c r="S9" s="116">
        <v>30</v>
      </c>
      <c r="T9" s="135">
        <v>3</v>
      </c>
      <c r="U9" s="135">
        <v>8</v>
      </c>
      <c r="V9" s="135">
        <v>0.5</v>
      </c>
      <c r="W9" s="48">
        <v>3000</v>
      </c>
      <c r="X9" s="48">
        <v>20</v>
      </c>
      <c r="Y9" s="55">
        <v>2.1</v>
      </c>
      <c r="Z9" s="48">
        <v>2500</v>
      </c>
      <c r="AA9" s="161">
        <v>1000</v>
      </c>
      <c r="AB9" s="287" t="s">
        <v>162</v>
      </c>
      <c r="AC9" s="48" t="s">
        <v>102</v>
      </c>
      <c r="AD9" s="48">
        <v>40</v>
      </c>
      <c r="AE9" s="48">
        <v>60</v>
      </c>
      <c r="AF9" s="161">
        <v>80</v>
      </c>
    </row>
    <row r="10" spans="1:32" ht="12.75" customHeight="1">
      <c r="A10" s="177"/>
      <c r="B10" s="173"/>
      <c r="C10" s="174"/>
      <c r="D10" s="174" t="s">
        <v>88</v>
      </c>
      <c r="E10" s="48">
        <f>+S110</f>
        <v>10</v>
      </c>
      <c r="F10" s="185"/>
      <c r="G10" s="173"/>
      <c r="H10" s="173"/>
      <c r="I10" s="173"/>
      <c r="J10" s="56" t="s">
        <v>3</v>
      </c>
      <c r="K10" s="48">
        <v>0.65</v>
      </c>
      <c r="L10" s="188" t="b">
        <v>0</v>
      </c>
      <c r="N10" s="275" t="s">
        <v>49</v>
      </c>
      <c r="O10" s="284">
        <v>4</v>
      </c>
      <c r="P10" s="141">
        <v>350</v>
      </c>
      <c r="Q10" s="48">
        <v>150</v>
      </c>
      <c r="R10" s="48">
        <v>30</v>
      </c>
      <c r="S10" s="48">
        <v>20</v>
      </c>
      <c r="T10" s="135">
        <v>3</v>
      </c>
      <c r="U10" s="135">
        <v>6</v>
      </c>
      <c r="V10" s="135">
        <v>1</v>
      </c>
      <c r="W10" s="48">
        <v>1500</v>
      </c>
      <c r="X10" s="48">
        <v>20</v>
      </c>
      <c r="Y10" s="55">
        <v>3.9</v>
      </c>
      <c r="Z10" s="48">
        <v>2500</v>
      </c>
      <c r="AA10" s="161">
        <v>250</v>
      </c>
      <c r="AB10" s="287" t="s">
        <v>162</v>
      </c>
      <c r="AC10" s="48" t="s">
        <v>102</v>
      </c>
      <c r="AD10" s="48">
        <v>40</v>
      </c>
      <c r="AE10" s="48">
        <v>60</v>
      </c>
      <c r="AF10" s="161">
        <v>80</v>
      </c>
    </row>
    <row r="11" spans="1:32" ht="12.75" customHeight="1">
      <c r="A11" s="177"/>
      <c r="B11" s="173"/>
      <c r="C11" s="174"/>
      <c r="D11" s="63"/>
      <c r="E11" s="176"/>
      <c r="F11" s="63"/>
      <c r="G11" s="63"/>
      <c r="H11" s="63"/>
      <c r="I11" s="63"/>
      <c r="J11" s="56" t="s">
        <v>10</v>
      </c>
      <c r="K11" s="48">
        <v>0.75</v>
      </c>
      <c r="L11" s="188" t="b">
        <v>0</v>
      </c>
      <c r="N11" s="275" t="s">
        <v>53</v>
      </c>
      <c r="O11" s="284">
        <v>5</v>
      </c>
      <c r="P11" s="301">
        <v>800</v>
      </c>
      <c r="Q11" s="136">
        <v>200</v>
      </c>
      <c r="R11" s="116">
        <v>20</v>
      </c>
      <c r="S11" s="116">
        <v>10</v>
      </c>
      <c r="T11" s="135">
        <v>5</v>
      </c>
      <c r="U11" s="135">
        <v>12</v>
      </c>
      <c r="V11" s="135">
        <v>0.5</v>
      </c>
      <c r="W11" s="48">
        <v>3000</v>
      </c>
      <c r="X11" s="48">
        <v>20</v>
      </c>
      <c r="Y11" s="55">
        <v>0.75</v>
      </c>
      <c r="Z11" s="48">
        <v>2600</v>
      </c>
      <c r="AA11" s="161">
        <v>400</v>
      </c>
      <c r="AB11" s="287" t="s">
        <v>162</v>
      </c>
      <c r="AC11" s="48" t="s">
        <v>102</v>
      </c>
      <c r="AD11" s="48">
        <v>40</v>
      </c>
      <c r="AE11" s="48">
        <v>60</v>
      </c>
      <c r="AF11" s="161">
        <v>80</v>
      </c>
    </row>
    <row r="12" spans="1:32" ht="12.75" customHeight="1">
      <c r="A12" s="177"/>
      <c r="B12" s="69" t="s">
        <v>176</v>
      </c>
      <c r="C12" s="69"/>
      <c r="D12" s="69"/>
      <c r="E12" s="50">
        <f>+E9</f>
        <v>10</v>
      </c>
      <c r="F12" s="70" t="s">
        <v>0</v>
      </c>
      <c r="G12" s="63"/>
      <c r="H12" s="63"/>
      <c r="I12" s="57"/>
      <c r="J12" s="56" t="s">
        <v>4</v>
      </c>
      <c r="K12" s="48">
        <v>0.85</v>
      </c>
      <c r="L12" s="188" t="b">
        <v>1</v>
      </c>
      <c r="N12" s="275" t="s">
        <v>50</v>
      </c>
      <c r="O12" s="284">
        <v>6</v>
      </c>
      <c r="P12" s="301">
        <v>800</v>
      </c>
      <c r="Q12" s="136">
        <v>250</v>
      </c>
      <c r="R12" s="116">
        <v>20</v>
      </c>
      <c r="S12" s="116">
        <v>5</v>
      </c>
      <c r="T12" s="135">
        <v>5</v>
      </c>
      <c r="U12" s="135">
        <v>12</v>
      </c>
      <c r="V12" s="135">
        <v>0.2</v>
      </c>
      <c r="W12" s="48">
        <v>3000</v>
      </c>
      <c r="X12" s="48">
        <v>20</v>
      </c>
      <c r="Y12" s="55">
        <v>0.9</v>
      </c>
      <c r="Z12" s="48">
        <v>2200</v>
      </c>
      <c r="AA12" s="161">
        <v>200</v>
      </c>
      <c r="AB12" s="287" t="s">
        <v>162</v>
      </c>
      <c r="AC12" s="48" t="s">
        <v>102</v>
      </c>
      <c r="AD12" s="48">
        <v>40</v>
      </c>
      <c r="AE12" s="48">
        <v>60</v>
      </c>
      <c r="AF12" s="161">
        <v>80</v>
      </c>
    </row>
    <row r="13" spans="1:32" ht="12.75" customHeight="1">
      <c r="A13" s="177"/>
      <c r="B13" s="323" t="s">
        <v>165</v>
      </c>
      <c r="C13" s="323"/>
      <c r="D13" s="69"/>
      <c r="E13" s="167">
        <f>+E5/100</f>
        <v>3</v>
      </c>
      <c r="F13" s="70" t="s">
        <v>2</v>
      </c>
      <c r="G13" s="63"/>
      <c r="H13" s="63"/>
      <c r="I13" s="57"/>
      <c r="J13" s="63"/>
      <c r="K13" s="63"/>
      <c r="L13" s="189"/>
      <c r="M13" s="5"/>
      <c r="N13" s="275" t="s">
        <v>52</v>
      </c>
      <c r="O13" s="284">
        <v>7</v>
      </c>
      <c r="P13" s="141">
        <v>700</v>
      </c>
      <c r="Q13" s="48">
        <v>300</v>
      </c>
      <c r="R13" s="116">
        <v>15</v>
      </c>
      <c r="S13" s="116">
        <v>10</v>
      </c>
      <c r="T13" s="135">
        <v>4</v>
      </c>
      <c r="U13" s="135">
        <v>8</v>
      </c>
      <c r="V13" s="135">
        <v>0.7</v>
      </c>
      <c r="W13" s="48">
        <v>3000</v>
      </c>
      <c r="X13" s="48">
        <v>20</v>
      </c>
      <c r="Y13" s="55">
        <v>1.65</v>
      </c>
      <c r="Z13" s="48">
        <v>2500</v>
      </c>
      <c r="AA13" s="161">
        <v>250</v>
      </c>
      <c r="AB13" s="287" t="s">
        <v>162</v>
      </c>
      <c r="AC13" s="48" t="s">
        <v>102</v>
      </c>
      <c r="AD13" s="48">
        <v>40</v>
      </c>
      <c r="AE13" s="48">
        <v>60</v>
      </c>
      <c r="AF13" s="161">
        <v>80</v>
      </c>
    </row>
    <row r="14" spans="1:32" ht="12.75" customHeight="1">
      <c r="A14" s="177"/>
      <c r="B14" s="323" t="s">
        <v>166</v>
      </c>
      <c r="C14" s="323"/>
      <c r="D14" s="69"/>
      <c r="E14" s="51">
        <f>IF(O111&gt;=17,E16*1.2,G14*E13)</f>
        <v>3000</v>
      </c>
      <c r="F14" s="70" t="s">
        <v>181</v>
      </c>
      <c r="G14" s="266">
        <f>+AA110</f>
        <v>1000</v>
      </c>
      <c r="H14" s="70" t="s">
        <v>90</v>
      </c>
      <c r="I14" s="57"/>
      <c r="J14" s="63"/>
      <c r="K14" s="63"/>
      <c r="L14" s="189"/>
      <c r="M14" s="6"/>
      <c r="N14" s="274" t="s">
        <v>51</v>
      </c>
      <c r="O14" s="284">
        <v>8</v>
      </c>
      <c r="P14" s="301">
        <v>1000</v>
      </c>
      <c r="Q14" s="48">
        <v>300</v>
      </c>
      <c r="R14" s="116">
        <v>10</v>
      </c>
      <c r="S14" s="116">
        <v>4</v>
      </c>
      <c r="T14" s="135">
        <v>4</v>
      </c>
      <c r="U14" s="135">
        <v>10</v>
      </c>
      <c r="V14" s="135">
        <v>0.2</v>
      </c>
      <c r="W14" s="48">
        <v>3000</v>
      </c>
      <c r="X14" s="48">
        <v>20</v>
      </c>
      <c r="Y14" s="137">
        <v>0.9</v>
      </c>
      <c r="Z14" s="48">
        <v>2700</v>
      </c>
      <c r="AA14" s="161">
        <v>200</v>
      </c>
      <c r="AB14" s="287" t="s">
        <v>162</v>
      </c>
      <c r="AC14" s="48" t="s">
        <v>102</v>
      </c>
      <c r="AD14" s="48">
        <v>40</v>
      </c>
      <c r="AE14" s="48">
        <v>60</v>
      </c>
      <c r="AF14" s="161">
        <v>80</v>
      </c>
    </row>
    <row r="15" spans="1:32" ht="12.75" customHeight="1">
      <c r="A15" s="177"/>
      <c r="B15" s="63"/>
      <c r="C15" s="63"/>
      <c r="D15" s="69"/>
      <c r="E15" s="61"/>
      <c r="F15" s="61"/>
      <c r="G15" s="63"/>
      <c r="H15" s="63"/>
      <c r="I15" s="57"/>
      <c r="J15" s="322" t="s">
        <v>101</v>
      </c>
      <c r="K15" s="322"/>
      <c r="L15" s="189"/>
      <c r="N15" s="274" t="s">
        <v>137</v>
      </c>
      <c r="O15" s="284">
        <v>9</v>
      </c>
      <c r="P15" s="142">
        <v>1000</v>
      </c>
      <c r="Q15" s="116">
        <v>300</v>
      </c>
      <c r="R15" s="116">
        <v>10</v>
      </c>
      <c r="S15" s="116">
        <v>2</v>
      </c>
      <c r="T15" s="135">
        <v>4</v>
      </c>
      <c r="U15" s="135">
        <v>12</v>
      </c>
      <c r="V15" s="135">
        <v>0.5</v>
      </c>
      <c r="W15" s="116">
        <v>3000</v>
      </c>
      <c r="X15" s="48">
        <v>20</v>
      </c>
      <c r="Y15" s="55">
        <v>0.3</v>
      </c>
      <c r="Z15" s="116">
        <v>600</v>
      </c>
      <c r="AA15" s="302">
        <v>300</v>
      </c>
      <c r="AB15" s="287" t="s">
        <v>162</v>
      </c>
      <c r="AC15" s="48" t="s">
        <v>102</v>
      </c>
      <c r="AD15" s="48">
        <v>40</v>
      </c>
      <c r="AE15" s="48">
        <v>60</v>
      </c>
      <c r="AF15" s="161">
        <v>80</v>
      </c>
    </row>
    <row r="16" spans="1:32" ht="12.75" customHeight="1">
      <c r="A16" s="177"/>
      <c r="B16" s="69" t="s">
        <v>163</v>
      </c>
      <c r="C16" s="69"/>
      <c r="D16" s="69"/>
      <c r="E16" s="50">
        <f>IF(L5=TRUE,K5,IF(L6=TRUE,K6,IF(L7=TRUE,K7)))</f>
        <v>60</v>
      </c>
      <c r="F16" s="70" t="s">
        <v>169</v>
      </c>
      <c r="G16" s="63"/>
      <c r="H16" s="57"/>
      <c r="I16" s="57"/>
      <c r="J16" s="56" t="s">
        <v>15</v>
      </c>
      <c r="K16" s="48">
        <v>25</v>
      </c>
      <c r="L16" s="188" t="b">
        <v>0</v>
      </c>
      <c r="N16" s="274"/>
      <c r="O16" s="268">
        <v>10</v>
      </c>
      <c r="P16" s="303"/>
      <c r="Q16" s="147"/>
      <c r="R16" s="147"/>
      <c r="S16" s="147"/>
      <c r="T16" s="148"/>
      <c r="U16" s="148"/>
      <c r="V16" s="147"/>
      <c r="W16" s="116"/>
      <c r="X16" s="48"/>
      <c r="Y16" s="138"/>
      <c r="Z16" s="138"/>
      <c r="AA16" s="304"/>
      <c r="AB16" s="288"/>
      <c r="AC16" s="138"/>
      <c r="AD16" s="151"/>
      <c r="AE16" s="151"/>
      <c r="AF16" s="158"/>
    </row>
    <row r="17" spans="1:32" ht="12.75" customHeight="1">
      <c r="A17" s="177"/>
      <c r="B17" s="190" t="s">
        <v>164</v>
      </c>
      <c r="C17" s="190"/>
      <c r="D17" s="62"/>
      <c r="E17" s="50">
        <f>+V110</f>
        <v>0.8</v>
      </c>
      <c r="F17" s="191"/>
      <c r="G17" s="63"/>
      <c r="H17" s="63"/>
      <c r="I17" s="57"/>
      <c r="J17" s="56" t="s">
        <v>1</v>
      </c>
      <c r="K17" s="48">
        <v>50</v>
      </c>
      <c r="L17" s="188" t="b">
        <v>0</v>
      </c>
      <c r="N17" s="276" t="s">
        <v>144</v>
      </c>
      <c r="O17" s="284">
        <v>11</v>
      </c>
      <c r="P17" s="301">
        <v>800</v>
      </c>
      <c r="Q17" s="136">
        <v>250</v>
      </c>
      <c r="R17" s="116">
        <v>10</v>
      </c>
      <c r="S17" s="116">
        <v>5</v>
      </c>
      <c r="T17" s="135">
        <v>5</v>
      </c>
      <c r="U17" s="135">
        <v>12</v>
      </c>
      <c r="V17" s="135">
        <v>0.5</v>
      </c>
      <c r="W17" s="48">
        <v>1200</v>
      </c>
      <c r="X17" s="48">
        <v>20</v>
      </c>
      <c r="Y17" s="48">
        <v>0.45</v>
      </c>
      <c r="Z17" s="48">
        <v>3500</v>
      </c>
      <c r="AA17" s="161">
        <v>500</v>
      </c>
      <c r="AB17" s="287" t="s">
        <v>162</v>
      </c>
      <c r="AC17" s="48" t="s">
        <v>102</v>
      </c>
      <c r="AD17" s="48">
        <v>40</v>
      </c>
      <c r="AE17" s="48">
        <v>60</v>
      </c>
      <c r="AF17" s="161">
        <v>80</v>
      </c>
    </row>
    <row r="18" spans="1:32" ht="12.75" customHeight="1">
      <c r="A18" s="177"/>
      <c r="B18" s="190" t="s">
        <v>159</v>
      </c>
      <c r="C18" s="190"/>
      <c r="D18" s="192">
        <f>+T110*10</f>
        <v>50</v>
      </c>
      <c r="E18" s="52">
        <f>+IF(O110&gt;=17,E16*4*E17*0.1*10*E9/10,E16*E12*E17*0.1*E13*10)</f>
        <v>1440</v>
      </c>
      <c r="F18" s="191" t="s">
        <v>175</v>
      </c>
      <c r="G18" s="63"/>
      <c r="H18" s="63"/>
      <c r="I18" s="57"/>
      <c r="J18" s="56" t="s">
        <v>18</v>
      </c>
      <c r="K18" s="48">
        <v>75</v>
      </c>
      <c r="L18" s="188" t="b">
        <v>1</v>
      </c>
      <c r="N18" s="276" t="s">
        <v>145</v>
      </c>
      <c r="O18" s="284">
        <v>12</v>
      </c>
      <c r="P18" s="141">
        <v>800</v>
      </c>
      <c r="Q18" s="48">
        <v>300</v>
      </c>
      <c r="R18" s="48">
        <v>15</v>
      </c>
      <c r="S18" s="48">
        <v>10</v>
      </c>
      <c r="T18" s="135">
        <v>5</v>
      </c>
      <c r="U18" s="135">
        <v>12</v>
      </c>
      <c r="V18" s="135">
        <v>0.8</v>
      </c>
      <c r="W18" s="48">
        <v>1200</v>
      </c>
      <c r="X18" s="48">
        <v>20</v>
      </c>
      <c r="Y18" s="55">
        <v>2.7</v>
      </c>
      <c r="Z18" s="48">
        <v>10000</v>
      </c>
      <c r="AA18" s="161">
        <v>1000</v>
      </c>
      <c r="AB18" s="287" t="s">
        <v>162</v>
      </c>
      <c r="AC18" s="48" t="s">
        <v>102</v>
      </c>
      <c r="AD18" s="48">
        <v>40</v>
      </c>
      <c r="AE18" s="48">
        <v>60</v>
      </c>
      <c r="AF18" s="161">
        <v>80</v>
      </c>
    </row>
    <row r="19" spans="1:32" ht="12.75" customHeight="1">
      <c r="A19" s="177"/>
      <c r="B19" s="324" t="s">
        <v>5</v>
      </c>
      <c r="C19" s="324"/>
      <c r="D19" s="193">
        <v>90</v>
      </c>
      <c r="E19" s="49">
        <f>IF(D19&lt;D18,D18/10,IF(D19&gt;D20,D20/10,D19/10))</f>
        <v>9</v>
      </c>
      <c r="F19" s="191" t="s">
        <v>6</v>
      </c>
      <c r="G19" s="194"/>
      <c r="H19" s="194"/>
      <c r="I19" s="57"/>
      <c r="J19" s="63"/>
      <c r="K19" s="63"/>
      <c r="L19" s="183"/>
      <c r="N19" s="276" t="s">
        <v>146</v>
      </c>
      <c r="O19" s="268">
        <v>13</v>
      </c>
      <c r="P19" s="142">
        <v>600</v>
      </c>
      <c r="Q19" s="116">
        <v>300</v>
      </c>
      <c r="R19" s="116">
        <v>10</v>
      </c>
      <c r="S19" s="116">
        <v>5</v>
      </c>
      <c r="T19" s="135">
        <v>3</v>
      </c>
      <c r="U19" s="135">
        <v>10</v>
      </c>
      <c r="V19" s="135">
        <v>0.5</v>
      </c>
      <c r="W19" s="116">
        <v>1200</v>
      </c>
      <c r="X19" s="48">
        <v>20</v>
      </c>
      <c r="Y19" s="55">
        <v>0.75</v>
      </c>
      <c r="Z19" s="116">
        <v>6500</v>
      </c>
      <c r="AA19" s="302">
        <v>400</v>
      </c>
      <c r="AB19" s="287" t="s">
        <v>162</v>
      </c>
      <c r="AC19" s="48" t="s">
        <v>102</v>
      </c>
      <c r="AD19" s="48">
        <v>40</v>
      </c>
      <c r="AE19" s="48">
        <v>60</v>
      </c>
      <c r="AF19" s="161">
        <v>80</v>
      </c>
    </row>
    <row r="20" spans="1:32" ht="12.75" customHeight="1">
      <c r="A20" s="177"/>
      <c r="B20" s="324" t="s">
        <v>7</v>
      </c>
      <c r="C20" s="324"/>
      <c r="D20" s="195">
        <f>+U110*10</f>
        <v>120</v>
      </c>
      <c r="E20" s="99">
        <f>+IF(O110&gt;27,E16*E19*E5*0.001*E9/6,E18*10*E19/3600)</f>
        <v>36</v>
      </c>
      <c r="F20" s="191" t="s">
        <v>8</v>
      </c>
      <c r="G20" s="194"/>
      <c r="H20" s="196"/>
      <c r="I20" s="57"/>
      <c r="J20" s="63"/>
      <c r="K20" s="63"/>
      <c r="L20" s="189"/>
      <c r="N20" s="276" t="s">
        <v>147</v>
      </c>
      <c r="O20" s="284">
        <v>14</v>
      </c>
      <c r="P20" s="301">
        <v>300</v>
      </c>
      <c r="Q20" s="136">
        <v>100</v>
      </c>
      <c r="R20" s="116">
        <v>10</v>
      </c>
      <c r="S20" s="116">
        <v>5</v>
      </c>
      <c r="T20" s="135">
        <v>2</v>
      </c>
      <c r="U20" s="135">
        <v>6</v>
      </c>
      <c r="V20" s="135">
        <v>0.5</v>
      </c>
      <c r="W20" s="48">
        <v>1200</v>
      </c>
      <c r="X20" s="48">
        <v>20</v>
      </c>
      <c r="Y20" s="48">
        <v>0.75</v>
      </c>
      <c r="Z20" s="48">
        <v>6500</v>
      </c>
      <c r="AA20" s="161">
        <v>250</v>
      </c>
      <c r="AB20" s="287" t="s">
        <v>162</v>
      </c>
      <c r="AC20" s="48" t="s">
        <v>102</v>
      </c>
      <c r="AD20" s="48">
        <v>40</v>
      </c>
      <c r="AE20" s="48">
        <v>60</v>
      </c>
      <c r="AF20" s="161">
        <v>80</v>
      </c>
    </row>
    <row r="21" spans="1:32" ht="12.75" customHeight="1">
      <c r="A21" s="177"/>
      <c r="B21" s="63"/>
      <c r="C21" s="63"/>
      <c r="D21" s="197" t="s">
        <v>118</v>
      </c>
      <c r="E21" s="100">
        <f>E20*1.36</f>
        <v>48.96</v>
      </c>
      <c r="F21" s="191" t="s">
        <v>9</v>
      </c>
      <c r="G21" s="194"/>
      <c r="H21" s="198" t="b">
        <v>1</v>
      </c>
      <c r="I21" s="58">
        <f>IF(L16=TRUE,K16,IF(L17=TRUE,K17,IF(L18=TRUE,K18)))</f>
        <v>75</v>
      </c>
      <c r="J21" s="324" t="s">
        <v>161</v>
      </c>
      <c r="K21" s="324"/>
      <c r="L21" s="199"/>
      <c r="N21" s="276" t="s">
        <v>148</v>
      </c>
      <c r="O21" s="284">
        <v>15</v>
      </c>
      <c r="P21" s="141">
        <v>400</v>
      </c>
      <c r="Q21" s="48">
        <v>150</v>
      </c>
      <c r="R21" s="116">
        <v>15</v>
      </c>
      <c r="S21" s="116">
        <v>10</v>
      </c>
      <c r="T21" s="135">
        <v>2</v>
      </c>
      <c r="U21" s="135">
        <v>8</v>
      </c>
      <c r="V21" s="135">
        <v>0.5</v>
      </c>
      <c r="W21" s="48">
        <v>1200</v>
      </c>
      <c r="X21" s="48">
        <v>20</v>
      </c>
      <c r="Y21" s="55">
        <v>3.5</v>
      </c>
      <c r="Z21" s="48">
        <v>5500</v>
      </c>
      <c r="AA21" s="161">
        <v>500</v>
      </c>
      <c r="AB21" s="287" t="s">
        <v>162</v>
      </c>
      <c r="AC21" s="48" t="s">
        <v>102</v>
      </c>
      <c r="AD21" s="48">
        <v>40</v>
      </c>
      <c r="AE21" s="48">
        <v>60</v>
      </c>
      <c r="AF21" s="161">
        <v>80</v>
      </c>
    </row>
    <row r="22" spans="1:32" ht="12.75" customHeight="1">
      <c r="A22" s="177"/>
      <c r="B22" s="95" t="s">
        <v>112</v>
      </c>
      <c r="C22" s="63"/>
      <c r="D22" s="120"/>
      <c r="E22" s="98">
        <f>IF(H21=TRUE,E21*0.2,0)</f>
        <v>9.792000000000002</v>
      </c>
      <c r="F22" s="191" t="s">
        <v>9</v>
      </c>
      <c r="G22" s="200" t="s">
        <v>160</v>
      </c>
      <c r="H22" s="201" t="b">
        <v>0</v>
      </c>
      <c r="I22" s="97"/>
      <c r="J22" s="190"/>
      <c r="K22" s="190"/>
      <c r="L22" s="202"/>
      <c r="N22" s="276"/>
      <c r="O22" s="284">
        <v>16</v>
      </c>
      <c r="P22" s="141"/>
      <c r="Q22" s="48"/>
      <c r="R22" s="116"/>
      <c r="S22" s="116"/>
      <c r="T22" s="116"/>
      <c r="U22" s="116"/>
      <c r="V22" s="139"/>
      <c r="W22" s="48"/>
      <c r="X22" s="48"/>
      <c r="Y22" s="55"/>
      <c r="Z22" s="48"/>
      <c r="AA22" s="161"/>
      <c r="AB22" s="289"/>
      <c r="AC22" s="56"/>
      <c r="AD22" s="151"/>
      <c r="AE22" s="151"/>
      <c r="AF22" s="158"/>
    </row>
    <row r="23" spans="1:32" ht="12.75" customHeight="1">
      <c r="A23" s="177"/>
      <c r="B23" s="324" t="s">
        <v>11</v>
      </c>
      <c r="C23" s="324"/>
      <c r="D23" s="190"/>
      <c r="E23" s="52">
        <f>(E21+E22)/0.75</f>
        <v>78.336</v>
      </c>
      <c r="F23" s="191" t="s">
        <v>9</v>
      </c>
      <c r="G23" s="194"/>
      <c r="H23" s="194"/>
      <c r="I23" s="191" t="s">
        <v>9</v>
      </c>
      <c r="J23" s="203" t="str">
        <f>+G91</f>
        <v>x</v>
      </c>
      <c r="K23" s="204"/>
      <c r="L23" s="199"/>
      <c r="N23" s="275" t="s">
        <v>139</v>
      </c>
      <c r="O23" s="284">
        <v>17</v>
      </c>
      <c r="P23" s="142">
        <v>2000</v>
      </c>
      <c r="Q23" s="48">
        <v>1000</v>
      </c>
      <c r="R23" s="116">
        <v>15</v>
      </c>
      <c r="S23" s="116">
        <v>10</v>
      </c>
      <c r="T23" s="116">
        <v>5</v>
      </c>
      <c r="U23" s="116">
        <v>15</v>
      </c>
      <c r="V23" s="55">
        <v>0.15</v>
      </c>
      <c r="W23" s="48">
        <v>800</v>
      </c>
      <c r="X23" s="48">
        <v>20</v>
      </c>
      <c r="Y23" s="55">
        <v>0.3</v>
      </c>
      <c r="Z23" s="48">
        <v>7000</v>
      </c>
      <c r="AA23" s="161"/>
      <c r="AB23" s="287" t="s">
        <v>170</v>
      </c>
      <c r="AC23" s="48"/>
      <c r="AD23" s="48">
        <v>800</v>
      </c>
      <c r="AE23" s="48">
        <v>1000</v>
      </c>
      <c r="AF23" s="161">
        <v>1200</v>
      </c>
    </row>
    <row r="24" spans="1:32" ht="12.75" customHeight="1">
      <c r="A24" s="177"/>
      <c r="B24" s="63"/>
      <c r="C24" s="63"/>
      <c r="D24" s="205"/>
      <c r="E24" s="61"/>
      <c r="F24" s="61"/>
      <c r="G24" s="194"/>
      <c r="H24" s="196"/>
      <c r="I24" s="59">
        <f>E23*100/I21</f>
        <v>104.448</v>
      </c>
      <c r="J24" s="324" t="s">
        <v>22</v>
      </c>
      <c r="K24" s="324" t="b">
        <v>1</v>
      </c>
      <c r="L24" s="199"/>
      <c r="N24" s="275" t="s">
        <v>140</v>
      </c>
      <c r="O24" s="284">
        <v>18</v>
      </c>
      <c r="P24" s="301">
        <v>3000</v>
      </c>
      <c r="Q24" s="48">
        <v>2000</v>
      </c>
      <c r="R24" s="116">
        <v>15</v>
      </c>
      <c r="S24" s="116">
        <v>10</v>
      </c>
      <c r="T24" s="116">
        <v>5</v>
      </c>
      <c r="U24" s="116">
        <v>15</v>
      </c>
      <c r="V24" s="55">
        <v>0.15</v>
      </c>
      <c r="W24" s="48">
        <v>800</v>
      </c>
      <c r="X24" s="48">
        <v>20</v>
      </c>
      <c r="Y24" s="55">
        <v>0.3</v>
      </c>
      <c r="Z24" s="48">
        <v>8000</v>
      </c>
      <c r="AA24" s="161"/>
      <c r="AB24" s="287" t="s">
        <v>170</v>
      </c>
      <c r="AC24" s="48"/>
      <c r="AD24" s="48">
        <v>1500</v>
      </c>
      <c r="AE24" s="48">
        <v>2500</v>
      </c>
      <c r="AF24" s="161">
        <v>3000</v>
      </c>
    </row>
    <row r="25" spans="1:32" ht="12.75" customHeight="1">
      <c r="A25" s="177"/>
      <c r="B25" s="190" t="s">
        <v>12</v>
      </c>
      <c r="C25" s="190"/>
      <c r="D25" s="190"/>
      <c r="E25" s="206">
        <f>10/(E19*E13)</f>
        <v>0.37037037037037035</v>
      </c>
      <c r="F25" s="191" t="s">
        <v>13</v>
      </c>
      <c r="G25" s="194"/>
      <c r="H25" s="57"/>
      <c r="I25" s="207">
        <f>IF(K25,I26,I24)</f>
        <v>104.448</v>
      </c>
      <c r="J25" s="208">
        <f>+J91</f>
        <v>0</v>
      </c>
      <c r="K25" s="209" t="b">
        <v>0</v>
      </c>
      <c r="L25" s="199"/>
      <c r="N25" s="275" t="s">
        <v>141</v>
      </c>
      <c r="O25" s="284">
        <v>19</v>
      </c>
      <c r="P25" s="141">
        <v>700</v>
      </c>
      <c r="Q25" s="48">
        <v>300</v>
      </c>
      <c r="R25" s="48">
        <v>20</v>
      </c>
      <c r="S25" s="48">
        <v>10</v>
      </c>
      <c r="T25" s="48">
        <v>2</v>
      </c>
      <c r="U25" s="48">
        <v>8</v>
      </c>
      <c r="V25" s="55">
        <v>0.05</v>
      </c>
      <c r="W25" s="48">
        <v>6000</v>
      </c>
      <c r="X25" s="48">
        <v>20</v>
      </c>
      <c r="Y25" s="55">
        <v>1.2</v>
      </c>
      <c r="Z25" s="48">
        <v>2500</v>
      </c>
      <c r="AA25" s="161"/>
      <c r="AB25" s="287" t="s">
        <v>168</v>
      </c>
      <c r="AC25" s="48"/>
      <c r="AD25" s="48">
        <v>7000</v>
      </c>
      <c r="AE25" s="48">
        <v>12000</v>
      </c>
      <c r="AF25" s="161">
        <v>20000</v>
      </c>
    </row>
    <row r="26" spans="1:32" ht="12.75" customHeight="1">
      <c r="A26" s="177"/>
      <c r="B26" s="190" t="s">
        <v>14</v>
      </c>
      <c r="C26" s="190"/>
      <c r="D26" s="63"/>
      <c r="E26" s="210">
        <f>IF(L10=TRUE,K10,IF(L11=TRUE,K11,IF(L12=TRUE,K12)))</f>
        <v>0.85</v>
      </c>
      <c r="F26" s="61"/>
      <c r="G26" s="194"/>
      <c r="H26" s="70"/>
      <c r="I26" s="122">
        <v>225</v>
      </c>
      <c r="J26" s="323" t="s">
        <v>19</v>
      </c>
      <c r="K26" s="323"/>
      <c r="L26" s="211"/>
      <c r="N26" s="275" t="s">
        <v>152</v>
      </c>
      <c r="O26" s="284">
        <v>20</v>
      </c>
      <c r="P26" s="301">
        <v>1200</v>
      </c>
      <c r="Q26" s="136">
        <v>500</v>
      </c>
      <c r="R26" s="116">
        <v>20</v>
      </c>
      <c r="S26" s="116">
        <v>10</v>
      </c>
      <c r="T26" s="116">
        <v>2</v>
      </c>
      <c r="U26" s="116">
        <v>8</v>
      </c>
      <c r="V26" s="55">
        <v>0.05</v>
      </c>
      <c r="W26" s="48">
        <v>2500</v>
      </c>
      <c r="X26" s="48">
        <v>20</v>
      </c>
      <c r="Y26" s="55">
        <v>0.9</v>
      </c>
      <c r="Z26" s="48">
        <v>2000</v>
      </c>
      <c r="AA26" s="161"/>
      <c r="AB26" s="287" t="s">
        <v>170</v>
      </c>
      <c r="AC26" s="48"/>
      <c r="AD26" s="48">
        <v>7000</v>
      </c>
      <c r="AE26" s="48">
        <v>12000</v>
      </c>
      <c r="AF26" s="161">
        <v>20000</v>
      </c>
    </row>
    <row r="27" spans="1:32" ht="12.75">
      <c r="A27" s="177"/>
      <c r="B27" s="212" t="s">
        <v>16</v>
      </c>
      <c r="C27" s="212"/>
      <c r="D27" s="190"/>
      <c r="E27" s="53">
        <f>E25/E26</f>
        <v>0.43572984749455335</v>
      </c>
      <c r="F27" s="213" t="s">
        <v>13</v>
      </c>
      <c r="G27" s="194"/>
      <c r="H27" s="57"/>
      <c r="I27" s="63"/>
      <c r="J27" s="325"/>
      <c r="K27" s="325"/>
      <c r="L27" s="199"/>
      <c r="N27" s="275"/>
      <c r="O27" s="284">
        <v>21</v>
      </c>
      <c r="P27" s="301"/>
      <c r="Q27" s="136"/>
      <c r="R27" s="116"/>
      <c r="S27" s="116"/>
      <c r="T27" s="116"/>
      <c r="U27" s="116"/>
      <c r="V27" s="135"/>
      <c r="W27" s="48"/>
      <c r="X27" s="48"/>
      <c r="Y27" s="55"/>
      <c r="Z27" s="48"/>
      <c r="AA27" s="161"/>
      <c r="AB27" s="289"/>
      <c r="AC27" s="56"/>
      <c r="AD27" s="151"/>
      <c r="AE27" s="151"/>
      <c r="AF27" s="158"/>
    </row>
    <row r="28" spans="1:32" ht="12.75" customHeight="1">
      <c r="A28" s="177"/>
      <c r="B28" s="63"/>
      <c r="C28" s="63"/>
      <c r="D28" s="212"/>
      <c r="E28" s="53">
        <f>1/E27</f>
        <v>2.2950000000000004</v>
      </c>
      <c r="F28" s="213" t="s">
        <v>17</v>
      </c>
      <c r="G28" s="194"/>
      <c r="H28" s="57"/>
      <c r="I28" s="63"/>
      <c r="J28" s="62"/>
      <c r="K28" s="61"/>
      <c r="L28" s="199"/>
      <c r="N28" s="275" t="s">
        <v>142</v>
      </c>
      <c r="O28" s="284">
        <v>22</v>
      </c>
      <c r="P28" s="301">
        <v>2000</v>
      </c>
      <c r="Q28" s="48">
        <v>1000</v>
      </c>
      <c r="R28" s="116">
        <v>20</v>
      </c>
      <c r="S28" s="116">
        <v>10</v>
      </c>
      <c r="T28" s="116">
        <v>4</v>
      </c>
      <c r="U28" s="116">
        <v>15</v>
      </c>
      <c r="V28" s="135">
        <v>0.2</v>
      </c>
      <c r="W28" s="48">
        <v>1000</v>
      </c>
      <c r="X28" s="48">
        <v>20</v>
      </c>
      <c r="Y28" s="137">
        <v>0.6</v>
      </c>
      <c r="Z28" s="48">
        <v>7000</v>
      </c>
      <c r="AA28" s="161"/>
      <c r="AB28" s="287" t="s">
        <v>170</v>
      </c>
      <c r="AC28" s="48"/>
      <c r="AD28" s="48">
        <v>500</v>
      </c>
      <c r="AE28" s="48">
        <v>1000</v>
      </c>
      <c r="AF28" s="161">
        <v>1200</v>
      </c>
    </row>
    <row r="29" spans="1:32" ht="12.75" customHeight="1">
      <c r="A29" s="177"/>
      <c r="B29" s="164"/>
      <c r="C29" s="164"/>
      <c r="D29" s="164"/>
      <c r="E29" s="168"/>
      <c r="F29" s="168"/>
      <c r="G29" s="214"/>
      <c r="H29" s="214"/>
      <c r="I29" s="163"/>
      <c r="J29" s="164"/>
      <c r="K29" s="168"/>
      <c r="L29" s="199"/>
      <c r="N29" s="274" t="s">
        <v>143</v>
      </c>
      <c r="O29" s="268">
        <v>23</v>
      </c>
      <c r="P29" s="142">
        <v>3000</v>
      </c>
      <c r="Q29" s="116">
        <v>2000</v>
      </c>
      <c r="R29" s="116">
        <v>20</v>
      </c>
      <c r="S29" s="116">
        <v>10</v>
      </c>
      <c r="T29" s="116">
        <v>5</v>
      </c>
      <c r="U29" s="116">
        <v>16</v>
      </c>
      <c r="V29" s="135">
        <v>0.2</v>
      </c>
      <c r="W29" s="48">
        <v>1000</v>
      </c>
      <c r="X29" s="48">
        <v>20</v>
      </c>
      <c r="Y29" s="48">
        <v>0.75</v>
      </c>
      <c r="Z29" s="48">
        <v>9000</v>
      </c>
      <c r="AA29" s="161"/>
      <c r="AB29" s="287" t="s">
        <v>170</v>
      </c>
      <c r="AC29" s="48"/>
      <c r="AD29" s="48">
        <v>1500</v>
      </c>
      <c r="AE29" s="48">
        <v>2000</v>
      </c>
      <c r="AF29" s="161">
        <v>2500</v>
      </c>
    </row>
    <row r="30" spans="1:32" ht="12.75" customHeight="1">
      <c r="A30" s="177"/>
      <c r="B30" s="320" t="s">
        <v>28</v>
      </c>
      <c r="C30" s="320"/>
      <c r="D30" s="63"/>
      <c r="E30" s="61"/>
      <c r="F30" s="61"/>
      <c r="G30" s="63"/>
      <c r="H30" s="63"/>
      <c r="I30" s="57"/>
      <c r="J30" s="215">
        <v>100</v>
      </c>
      <c r="K30" s="63"/>
      <c r="L30" s="199"/>
      <c r="N30" s="275" t="s">
        <v>153</v>
      </c>
      <c r="O30" s="284">
        <v>24</v>
      </c>
      <c r="P30" s="141">
        <v>600</v>
      </c>
      <c r="Q30" s="48">
        <v>300</v>
      </c>
      <c r="R30" s="48">
        <v>20</v>
      </c>
      <c r="S30" s="48">
        <v>10</v>
      </c>
      <c r="T30" s="48">
        <v>2</v>
      </c>
      <c r="U30" s="48">
        <v>7</v>
      </c>
      <c r="V30" s="135">
        <v>0.4</v>
      </c>
      <c r="W30" s="48">
        <v>1000</v>
      </c>
      <c r="X30" s="48">
        <v>20</v>
      </c>
      <c r="Y30" s="55">
        <v>0.9</v>
      </c>
      <c r="Z30" s="48">
        <v>6000</v>
      </c>
      <c r="AA30" s="161"/>
      <c r="AB30" s="287" t="s">
        <v>170</v>
      </c>
      <c r="AC30" s="48"/>
      <c r="AD30" s="48">
        <v>400</v>
      </c>
      <c r="AE30" s="48">
        <v>600</v>
      </c>
      <c r="AF30" s="161">
        <v>1000</v>
      </c>
    </row>
    <row r="31" spans="1:32" ht="12.75">
      <c r="A31" s="177"/>
      <c r="B31" s="63"/>
      <c r="C31" s="63"/>
      <c r="D31" s="69"/>
      <c r="E31" s="70" t="s">
        <v>31</v>
      </c>
      <c r="F31" s="70" t="s">
        <v>33</v>
      </c>
      <c r="G31" s="216" t="s">
        <v>35</v>
      </c>
      <c r="H31" s="216" t="s">
        <v>36</v>
      </c>
      <c r="I31" s="57"/>
      <c r="J31" s="64" t="s">
        <v>94</v>
      </c>
      <c r="K31" s="64"/>
      <c r="L31" s="199"/>
      <c r="N31" s="274" t="s">
        <v>154</v>
      </c>
      <c r="O31" s="284">
        <v>25</v>
      </c>
      <c r="P31" s="141">
        <v>1000</v>
      </c>
      <c r="Q31" s="48">
        <v>300</v>
      </c>
      <c r="R31" s="48">
        <v>20</v>
      </c>
      <c r="S31" s="48">
        <v>10</v>
      </c>
      <c r="T31" s="48">
        <v>2</v>
      </c>
      <c r="U31" s="48">
        <v>7</v>
      </c>
      <c r="V31" s="48">
        <v>0.3</v>
      </c>
      <c r="W31" s="48">
        <v>1000</v>
      </c>
      <c r="X31" s="48">
        <v>20</v>
      </c>
      <c r="Y31" s="55">
        <v>0.9</v>
      </c>
      <c r="Z31" s="48">
        <v>7000</v>
      </c>
      <c r="AA31" s="305"/>
      <c r="AB31" s="287" t="s">
        <v>170</v>
      </c>
      <c r="AC31" s="48"/>
      <c r="AD31" s="48">
        <v>1200</v>
      </c>
      <c r="AE31" s="48">
        <v>2000</v>
      </c>
      <c r="AF31" s="161">
        <v>3000</v>
      </c>
    </row>
    <row r="32" spans="1:32" ht="12.75">
      <c r="A32" s="177"/>
      <c r="B32" s="217"/>
      <c r="C32" s="217"/>
      <c r="D32" s="149" t="s">
        <v>93</v>
      </c>
      <c r="E32" s="65">
        <f>+E54</f>
        <v>15.897599999999995</v>
      </c>
      <c r="F32" s="65">
        <f>E32*E27</f>
        <v>6.927058823529409</v>
      </c>
      <c r="G32" s="66">
        <f>J32*E32</f>
        <v>15.897599999999995</v>
      </c>
      <c r="H32" s="66">
        <f>F32*J32</f>
        <v>6.927058823529409</v>
      </c>
      <c r="I32" s="57"/>
      <c r="J32" s="67">
        <f>+J30/100</f>
        <v>1</v>
      </c>
      <c r="K32" s="118" t="s">
        <v>32</v>
      </c>
      <c r="L32" s="199"/>
      <c r="N32" s="275"/>
      <c r="O32" s="284">
        <v>26</v>
      </c>
      <c r="P32" s="141"/>
      <c r="Q32" s="48"/>
      <c r="R32" s="48"/>
      <c r="S32" s="48"/>
      <c r="T32" s="48"/>
      <c r="U32" s="48"/>
      <c r="V32" s="135"/>
      <c r="W32" s="48"/>
      <c r="X32" s="48"/>
      <c r="Y32" s="55"/>
      <c r="Z32" s="48"/>
      <c r="AA32" s="161"/>
      <c r="AB32" s="287"/>
      <c r="AC32" s="48"/>
      <c r="AD32" s="48"/>
      <c r="AE32" s="48"/>
      <c r="AF32" s="161"/>
    </row>
    <row r="33" spans="1:32" ht="12.75">
      <c r="A33" s="177"/>
      <c r="B33" s="62"/>
      <c r="C33" s="62"/>
      <c r="D33" s="62"/>
      <c r="E33" s="61"/>
      <c r="F33" s="70"/>
      <c r="G33" s="63"/>
      <c r="H33" s="63"/>
      <c r="I33" s="57"/>
      <c r="J33" s="63"/>
      <c r="K33" s="68"/>
      <c r="L33" s="211"/>
      <c r="N33" s="275" t="s">
        <v>182</v>
      </c>
      <c r="O33" s="284">
        <v>27</v>
      </c>
      <c r="P33" s="141">
        <v>500</v>
      </c>
      <c r="Q33" s="48">
        <v>150</v>
      </c>
      <c r="R33" s="48">
        <v>8</v>
      </c>
      <c r="S33" s="48">
        <v>4</v>
      </c>
      <c r="T33" s="48">
        <v>2</v>
      </c>
      <c r="U33" s="48">
        <v>10</v>
      </c>
      <c r="V33" s="267">
        <v>0.05</v>
      </c>
      <c r="W33" s="48">
        <v>2000</v>
      </c>
      <c r="X33" s="48">
        <v>20</v>
      </c>
      <c r="Y33" s="55">
        <v>10</v>
      </c>
      <c r="Z33" s="48">
        <v>3500</v>
      </c>
      <c r="AA33" s="161"/>
      <c r="AB33" s="287" t="s">
        <v>170</v>
      </c>
      <c r="AC33" s="48"/>
      <c r="AD33" s="48">
        <v>25000</v>
      </c>
      <c r="AE33" s="48">
        <v>35000</v>
      </c>
      <c r="AF33" s="161">
        <v>50000</v>
      </c>
    </row>
    <row r="34" spans="1:32" ht="12.75">
      <c r="A34" s="177"/>
      <c r="B34" s="320" t="s">
        <v>95</v>
      </c>
      <c r="C34" s="320"/>
      <c r="D34" s="69"/>
      <c r="E34" s="61"/>
      <c r="F34" s="61"/>
      <c r="G34" s="63"/>
      <c r="H34" s="63"/>
      <c r="I34" s="63"/>
      <c r="J34" s="325"/>
      <c r="K34" s="325"/>
      <c r="L34" s="199"/>
      <c r="N34" s="275" t="s">
        <v>155</v>
      </c>
      <c r="O34" s="284">
        <v>28</v>
      </c>
      <c r="P34" s="141">
        <v>600</v>
      </c>
      <c r="Q34" s="48">
        <v>300</v>
      </c>
      <c r="R34" s="48">
        <v>20</v>
      </c>
      <c r="S34" s="48">
        <v>10</v>
      </c>
      <c r="T34" s="48">
        <v>4</v>
      </c>
      <c r="U34" s="48">
        <v>12</v>
      </c>
      <c r="V34" s="135"/>
      <c r="W34" s="48">
        <v>1000</v>
      </c>
      <c r="X34" s="48">
        <v>20</v>
      </c>
      <c r="Y34" s="55">
        <v>7</v>
      </c>
      <c r="Z34" s="48">
        <v>4500</v>
      </c>
      <c r="AA34" s="161">
        <v>1200</v>
      </c>
      <c r="AB34" s="287" t="s">
        <v>174</v>
      </c>
      <c r="AC34" s="48" t="s">
        <v>56</v>
      </c>
      <c r="AD34" s="48">
        <v>5</v>
      </c>
      <c r="AE34" s="48">
        <v>8</v>
      </c>
      <c r="AF34" s="161"/>
    </row>
    <row r="35" spans="1:32" ht="12.75" customHeight="1">
      <c r="A35" s="177"/>
      <c r="B35" s="326" t="s">
        <v>37</v>
      </c>
      <c r="C35" s="326"/>
      <c r="D35" s="69"/>
      <c r="E35" s="60">
        <f>+I35*E27</f>
        <v>217.86492374727666</v>
      </c>
      <c r="F35" s="69" t="s">
        <v>124</v>
      </c>
      <c r="G35" s="63"/>
      <c r="H35" s="218" t="s">
        <v>109</v>
      </c>
      <c r="I35" s="96">
        <v>500</v>
      </c>
      <c r="J35" s="95" t="s">
        <v>110</v>
      </c>
      <c r="K35" s="71"/>
      <c r="L35" s="211"/>
      <c r="N35" s="274" t="s">
        <v>156</v>
      </c>
      <c r="O35" s="284">
        <v>29</v>
      </c>
      <c r="P35" s="141">
        <v>800</v>
      </c>
      <c r="Q35" s="48">
        <v>300</v>
      </c>
      <c r="R35" s="48">
        <v>20</v>
      </c>
      <c r="S35" s="48">
        <v>10</v>
      </c>
      <c r="T35" s="48">
        <v>4</v>
      </c>
      <c r="U35" s="48">
        <v>15</v>
      </c>
      <c r="V35" s="135"/>
      <c r="W35" s="48">
        <v>800</v>
      </c>
      <c r="X35" s="48">
        <v>20</v>
      </c>
      <c r="Y35" s="55">
        <v>1.1</v>
      </c>
      <c r="Z35" s="48">
        <v>1100</v>
      </c>
      <c r="AA35" s="161">
        <v>250</v>
      </c>
      <c r="AB35" s="287" t="s">
        <v>174</v>
      </c>
      <c r="AC35" s="48" t="s">
        <v>56</v>
      </c>
      <c r="AD35" s="48">
        <v>2</v>
      </c>
      <c r="AE35" s="48">
        <v>3</v>
      </c>
      <c r="AF35" s="161"/>
    </row>
    <row r="36" spans="1:32" ht="12.75">
      <c r="A36" s="177"/>
      <c r="B36" s="62"/>
      <c r="C36" s="62"/>
      <c r="D36" s="62"/>
      <c r="E36" s="210"/>
      <c r="F36" s="61"/>
      <c r="G36" s="63"/>
      <c r="H36" s="63"/>
      <c r="I36" s="63"/>
      <c r="J36" s="63"/>
      <c r="K36" s="72"/>
      <c r="L36" s="199"/>
      <c r="N36" s="275" t="s">
        <v>149</v>
      </c>
      <c r="O36" s="284">
        <v>30</v>
      </c>
      <c r="P36" s="141">
        <v>600</v>
      </c>
      <c r="Q36" s="48">
        <v>200</v>
      </c>
      <c r="R36" s="48">
        <v>10</v>
      </c>
      <c r="S36" s="48">
        <v>5</v>
      </c>
      <c r="T36" s="48">
        <v>4</v>
      </c>
      <c r="U36" s="48">
        <v>8</v>
      </c>
      <c r="V36" s="135"/>
      <c r="W36" s="48">
        <v>1000</v>
      </c>
      <c r="X36" s="48">
        <v>20</v>
      </c>
      <c r="Y36" s="55">
        <v>10</v>
      </c>
      <c r="Z36" s="48">
        <v>1700</v>
      </c>
      <c r="AA36" s="161"/>
      <c r="AB36" s="287" t="s">
        <v>177</v>
      </c>
      <c r="AC36" s="48" t="s">
        <v>178</v>
      </c>
      <c r="AD36" s="48">
        <v>8</v>
      </c>
      <c r="AE36" s="48">
        <v>10</v>
      </c>
      <c r="AF36" s="161">
        <v>12</v>
      </c>
    </row>
    <row r="37" spans="1:32" ht="12.75">
      <c r="A37" s="177"/>
      <c r="B37" s="217"/>
      <c r="C37" s="217"/>
      <c r="D37" s="149" t="s">
        <v>98</v>
      </c>
      <c r="E37" s="51">
        <f>IF(O111&gt;29,H37*E14,IF(O111&gt;27,+H37*E13,IF(O111&gt;16,H37*E14/1000,+H37*E13)))</f>
        <v>30000</v>
      </c>
      <c r="F37" s="69" t="s">
        <v>23</v>
      </c>
      <c r="G37" s="10"/>
      <c r="H37" s="219">
        <f>+Z111</f>
        <v>10000</v>
      </c>
      <c r="I37" s="217" t="s">
        <v>173</v>
      </c>
      <c r="J37" s="149" t="s">
        <v>96</v>
      </c>
      <c r="K37" s="70" t="s">
        <v>97</v>
      </c>
      <c r="L37" s="199"/>
      <c r="N37" s="275" t="s">
        <v>157</v>
      </c>
      <c r="O37" s="284">
        <v>31</v>
      </c>
      <c r="P37" s="141">
        <v>600</v>
      </c>
      <c r="Q37" s="48">
        <v>200</v>
      </c>
      <c r="R37" s="48">
        <v>11</v>
      </c>
      <c r="S37" s="48">
        <v>5</v>
      </c>
      <c r="T37" s="48">
        <v>4</v>
      </c>
      <c r="U37" s="48">
        <v>8</v>
      </c>
      <c r="V37" s="135"/>
      <c r="W37" s="48">
        <v>2000</v>
      </c>
      <c r="X37" s="48">
        <v>20</v>
      </c>
      <c r="Y37" s="55">
        <v>8</v>
      </c>
      <c r="Z37" s="48">
        <v>2500</v>
      </c>
      <c r="AA37" s="161"/>
      <c r="AB37" s="287" t="s">
        <v>177</v>
      </c>
      <c r="AC37" s="48" t="s">
        <v>178</v>
      </c>
      <c r="AD37" s="48">
        <v>10</v>
      </c>
      <c r="AE37" s="48">
        <v>12</v>
      </c>
      <c r="AF37" s="161">
        <v>14</v>
      </c>
    </row>
    <row r="38" spans="1:32" ht="12.75">
      <c r="A38" s="177"/>
      <c r="B38" s="63"/>
      <c r="C38" s="220"/>
      <c r="D38" s="220" t="s">
        <v>120</v>
      </c>
      <c r="E38" s="125" t="s">
        <v>119</v>
      </c>
      <c r="F38" s="5"/>
      <c r="G38" s="221" t="b">
        <v>1</v>
      </c>
      <c r="H38" s="221" t="b">
        <v>0</v>
      </c>
      <c r="I38" s="10"/>
      <c r="J38" s="121">
        <f>+E35</f>
        <v>217.86492374727666</v>
      </c>
      <c r="K38" s="107" t="s">
        <v>24</v>
      </c>
      <c r="L38" s="222"/>
      <c r="N38" s="275" t="s">
        <v>150</v>
      </c>
      <c r="O38" s="284">
        <v>32</v>
      </c>
      <c r="P38" s="141">
        <v>700</v>
      </c>
      <c r="Q38" s="48">
        <v>300</v>
      </c>
      <c r="R38" s="48">
        <v>12</v>
      </c>
      <c r="S38" s="48">
        <v>5</v>
      </c>
      <c r="T38" s="48">
        <v>4</v>
      </c>
      <c r="U38" s="48">
        <v>10</v>
      </c>
      <c r="V38" s="135"/>
      <c r="W38" s="48">
        <v>3000</v>
      </c>
      <c r="X38" s="48">
        <v>20</v>
      </c>
      <c r="Y38" s="55">
        <v>6</v>
      </c>
      <c r="Z38" s="48">
        <v>3000</v>
      </c>
      <c r="AA38" s="161"/>
      <c r="AB38" s="287" t="s">
        <v>177</v>
      </c>
      <c r="AC38" s="48" t="s">
        <v>178</v>
      </c>
      <c r="AD38" s="48">
        <v>12</v>
      </c>
      <c r="AE38" s="48">
        <v>14</v>
      </c>
      <c r="AF38" s="161">
        <v>16</v>
      </c>
    </row>
    <row r="39" spans="1:32" ht="12.75">
      <c r="A39" s="177"/>
      <c r="B39" s="326" t="s">
        <v>38</v>
      </c>
      <c r="C39" s="326"/>
      <c r="D39" s="73">
        <f>+W110</f>
        <v>1200</v>
      </c>
      <c r="E39" s="119">
        <f aca="true" t="shared" si="0" ref="E39:E44">IF($G$38,D39,F39)</f>
        <v>1200</v>
      </c>
      <c r="F39" s="48"/>
      <c r="G39" s="70" t="s">
        <v>39</v>
      </c>
      <c r="H39" s="74">
        <f>+$E$37/$E$39</f>
        <v>25</v>
      </c>
      <c r="I39" s="217" t="s">
        <v>35</v>
      </c>
      <c r="J39" s="103" t="s">
        <v>25</v>
      </c>
      <c r="K39" s="104">
        <f>+$E$37/($H$39+$H$40)</f>
        <v>940.8812921436412</v>
      </c>
      <c r="L39" s="222"/>
      <c r="N39" s="275" t="s">
        <v>179</v>
      </c>
      <c r="O39" s="284">
        <v>33</v>
      </c>
      <c r="P39" s="141">
        <v>300</v>
      </c>
      <c r="Q39" s="48">
        <v>150</v>
      </c>
      <c r="R39" s="48">
        <v>60</v>
      </c>
      <c r="S39" s="48">
        <v>30</v>
      </c>
      <c r="T39" s="48">
        <v>3</v>
      </c>
      <c r="U39" s="48">
        <v>6</v>
      </c>
      <c r="V39" s="56"/>
      <c r="W39" s="48">
        <v>1600</v>
      </c>
      <c r="X39" s="48">
        <v>20</v>
      </c>
      <c r="Y39" s="55">
        <v>15</v>
      </c>
      <c r="Z39" s="48">
        <v>1750</v>
      </c>
      <c r="AA39" s="305"/>
      <c r="AB39" s="287" t="s">
        <v>177</v>
      </c>
      <c r="AC39" s="48" t="s">
        <v>178</v>
      </c>
      <c r="AD39" s="48">
        <v>8</v>
      </c>
      <c r="AE39" s="48">
        <v>10</v>
      </c>
      <c r="AF39" s="161">
        <v>12</v>
      </c>
    </row>
    <row r="40" spans="1:32" ht="12.75">
      <c r="A40" s="177"/>
      <c r="B40" s="125"/>
      <c r="C40" s="149" t="s">
        <v>40</v>
      </c>
      <c r="D40" s="73">
        <f>+X110</f>
        <v>20</v>
      </c>
      <c r="E40" s="119">
        <f t="shared" si="0"/>
        <v>20</v>
      </c>
      <c r="F40" s="48">
        <v>20</v>
      </c>
      <c r="G40" s="70" t="s">
        <v>26</v>
      </c>
      <c r="H40" s="74">
        <f>+$E$37/($E$40*$E$35)</f>
        <v>6.885000000000001</v>
      </c>
      <c r="I40" s="217" t="s">
        <v>35</v>
      </c>
      <c r="J40" s="92" t="s">
        <v>26</v>
      </c>
      <c r="K40" s="101">
        <f>+$E$37/($E$35*($H$39+$H$40))</f>
        <v>4.318645130939314</v>
      </c>
      <c r="L40" s="222"/>
      <c r="N40" s="275"/>
      <c r="O40" s="284">
        <v>34</v>
      </c>
      <c r="P40" s="141"/>
      <c r="Q40" s="48"/>
      <c r="R40" s="48"/>
      <c r="S40" s="48"/>
      <c r="T40" s="48"/>
      <c r="U40" s="48"/>
      <c r="V40" s="56"/>
      <c r="W40" s="48"/>
      <c r="X40" s="48"/>
      <c r="Y40" s="56"/>
      <c r="Z40" s="56"/>
      <c r="AA40" s="305"/>
      <c r="AB40" s="289"/>
      <c r="AC40" s="56"/>
      <c r="AD40" s="151"/>
      <c r="AE40" s="151"/>
      <c r="AF40" s="158"/>
    </row>
    <row r="41" spans="1:32" ht="12.75">
      <c r="A41" s="177"/>
      <c r="B41" s="326" t="s">
        <v>41</v>
      </c>
      <c r="C41" s="326"/>
      <c r="D41" s="73">
        <v>5</v>
      </c>
      <c r="E41" s="119">
        <f t="shared" si="0"/>
        <v>5</v>
      </c>
      <c r="F41" s="48"/>
      <c r="G41" s="70" t="s">
        <v>20</v>
      </c>
      <c r="H41" s="74">
        <f>+$E$37*0.006*$E$41/$E$35</f>
        <v>4.131</v>
      </c>
      <c r="I41" s="217" t="s">
        <v>35</v>
      </c>
      <c r="J41" s="10"/>
      <c r="K41" s="10"/>
      <c r="L41" s="211"/>
      <c r="N41" s="275" t="s">
        <v>158</v>
      </c>
      <c r="O41" s="284">
        <v>35</v>
      </c>
      <c r="P41" s="141">
        <v>600</v>
      </c>
      <c r="Q41" s="48">
        <v>400</v>
      </c>
      <c r="R41" s="48">
        <v>20</v>
      </c>
      <c r="S41" s="48">
        <v>10</v>
      </c>
      <c r="T41" s="48">
        <v>3</v>
      </c>
      <c r="U41" s="48">
        <v>6</v>
      </c>
      <c r="V41" s="56"/>
      <c r="W41" s="48">
        <v>1200</v>
      </c>
      <c r="X41" s="48">
        <v>20</v>
      </c>
      <c r="Y41" s="55">
        <v>2.5</v>
      </c>
      <c r="Z41" s="48">
        <v>1200</v>
      </c>
      <c r="AA41" s="305"/>
      <c r="AB41" s="287" t="s">
        <v>177</v>
      </c>
      <c r="AC41" s="48" t="s">
        <v>178</v>
      </c>
      <c r="AD41" s="48">
        <v>8</v>
      </c>
      <c r="AE41" s="48">
        <v>10</v>
      </c>
      <c r="AF41" s="161">
        <v>12</v>
      </c>
    </row>
    <row r="42" spans="1:32" ht="12.75">
      <c r="A42" s="177"/>
      <c r="B42" s="326" t="s">
        <v>42</v>
      </c>
      <c r="C42" s="326"/>
      <c r="D42" s="73">
        <v>0.2</v>
      </c>
      <c r="E42" s="119">
        <f t="shared" si="0"/>
        <v>0.2</v>
      </c>
      <c r="F42" s="48">
        <v>0.2</v>
      </c>
      <c r="G42" s="70" t="s">
        <v>43</v>
      </c>
      <c r="H42" s="74">
        <f>+$E$37*$E$42/(100*$E$35)</f>
        <v>0.27540000000000003</v>
      </c>
      <c r="I42" s="217" t="s">
        <v>35</v>
      </c>
      <c r="J42" s="149" t="s">
        <v>107</v>
      </c>
      <c r="K42" s="70" t="s">
        <v>97</v>
      </c>
      <c r="L42" s="199"/>
      <c r="N42" s="275"/>
      <c r="O42" s="284">
        <v>36</v>
      </c>
      <c r="P42" s="141"/>
      <c r="Q42" s="48"/>
      <c r="R42" s="48"/>
      <c r="S42" s="48"/>
      <c r="T42" s="48"/>
      <c r="U42" s="48"/>
      <c r="V42" s="56"/>
      <c r="W42" s="48"/>
      <c r="X42" s="48"/>
      <c r="Y42" s="56"/>
      <c r="Z42" s="56"/>
      <c r="AA42" s="305"/>
      <c r="AB42" s="289"/>
      <c r="AC42" s="56"/>
      <c r="AD42" s="151"/>
      <c r="AE42" s="151"/>
      <c r="AF42" s="158"/>
    </row>
    <row r="43" spans="1:32" ht="12.75">
      <c r="A43" s="177"/>
      <c r="B43" s="326" t="s">
        <v>44</v>
      </c>
      <c r="C43" s="326"/>
      <c r="D43" s="73">
        <v>0.1</v>
      </c>
      <c r="E43" s="119">
        <f t="shared" si="0"/>
        <v>0.1</v>
      </c>
      <c r="F43" s="48">
        <v>0.1</v>
      </c>
      <c r="G43" s="70" t="s">
        <v>43</v>
      </c>
      <c r="H43" s="74">
        <f>+$E$37*$E$43/($E$35*100)</f>
        <v>0.13770000000000002</v>
      </c>
      <c r="I43" s="217" t="s">
        <v>35</v>
      </c>
      <c r="J43" s="102">
        <f>+B62</f>
        <v>800</v>
      </c>
      <c r="K43" s="107" t="s">
        <v>24</v>
      </c>
      <c r="L43" s="199"/>
      <c r="N43" s="275"/>
      <c r="O43" s="284">
        <v>37</v>
      </c>
      <c r="P43" s="141"/>
      <c r="Q43" s="48"/>
      <c r="R43" s="48"/>
      <c r="S43" s="48"/>
      <c r="T43" s="48"/>
      <c r="U43" s="48"/>
      <c r="V43" s="56"/>
      <c r="W43" s="48"/>
      <c r="X43" s="48"/>
      <c r="Y43" s="56"/>
      <c r="Z43" s="56"/>
      <c r="AA43" s="305"/>
      <c r="AB43" s="289"/>
      <c r="AC43" s="56"/>
      <c r="AD43" s="151"/>
      <c r="AE43" s="151"/>
      <c r="AF43" s="158"/>
    </row>
    <row r="44" spans="1:32" ht="12.75">
      <c r="A44" s="177"/>
      <c r="B44" s="326" t="s">
        <v>45</v>
      </c>
      <c r="C44" s="326"/>
      <c r="D44" s="73">
        <f>+Y110</f>
        <v>2.7</v>
      </c>
      <c r="E44" s="119">
        <f t="shared" si="0"/>
        <v>2.7</v>
      </c>
      <c r="F44" s="48"/>
      <c r="G44" s="70" t="s">
        <v>36</v>
      </c>
      <c r="H44" s="74">
        <f>+$E$44/$E$27</f>
        <v>6.196500000000001</v>
      </c>
      <c r="I44" s="217" t="s">
        <v>35</v>
      </c>
      <c r="J44" s="103" t="s">
        <v>25</v>
      </c>
      <c r="K44" s="104">
        <f>+$D$50/($D$63+$E$63)</f>
        <v>6857.142857142858</v>
      </c>
      <c r="L44" s="223"/>
      <c r="N44" s="276"/>
      <c r="O44" s="284">
        <v>38</v>
      </c>
      <c r="P44" s="141"/>
      <c r="Q44" s="48"/>
      <c r="R44" s="48"/>
      <c r="S44" s="48"/>
      <c r="T44" s="48"/>
      <c r="U44" s="48"/>
      <c r="V44" s="56"/>
      <c r="W44" s="48"/>
      <c r="X44" s="48"/>
      <c r="Y44" s="56"/>
      <c r="Z44" s="56"/>
      <c r="AA44" s="305"/>
      <c r="AB44" s="289"/>
      <c r="AC44" s="56"/>
      <c r="AD44" s="151"/>
      <c r="AE44" s="151"/>
      <c r="AF44" s="158"/>
    </row>
    <row r="45" spans="1:32" ht="12.75">
      <c r="A45" s="177"/>
      <c r="B45" s="63"/>
      <c r="C45" s="149"/>
      <c r="D45" s="149"/>
      <c r="E45" s="61"/>
      <c r="F45" s="5"/>
      <c r="G45" s="149" t="s">
        <v>46</v>
      </c>
      <c r="H45" s="74">
        <f>SUM(H39:H44)</f>
        <v>42.625600000000006</v>
      </c>
      <c r="I45" s="217" t="s">
        <v>35</v>
      </c>
      <c r="J45" s="92" t="s">
        <v>26</v>
      </c>
      <c r="K45" s="101">
        <f>+$D$50/($J$43*($D$63+$E$63))</f>
        <v>8.571428571428573</v>
      </c>
      <c r="L45" s="211"/>
      <c r="N45" s="275"/>
      <c r="O45" s="284">
        <v>39</v>
      </c>
      <c r="P45" s="141"/>
      <c r="Q45" s="48"/>
      <c r="R45" s="48"/>
      <c r="S45" s="48"/>
      <c r="T45" s="48"/>
      <c r="U45" s="48"/>
      <c r="V45" s="56"/>
      <c r="W45" s="48"/>
      <c r="X45" s="48"/>
      <c r="Y45" s="56"/>
      <c r="Z45" s="56"/>
      <c r="AA45" s="305"/>
      <c r="AB45" s="289"/>
      <c r="AC45" s="56"/>
      <c r="AD45" s="151"/>
      <c r="AE45" s="151"/>
      <c r="AF45" s="158"/>
    </row>
    <row r="46" spans="1:32" ht="12.75">
      <c r="A46" s="177"/>
      <c r="B46" s="63"/>
      <c r="C46" s="63"/>
      <c r="D46" s="149"/>
      <c r="E46" s="61"/>
      <c r="F46" s="5"/>
      <c r="G46" s="61"/>
      <c r="H46" s="75">
        <f>+$H$45*$E$27</f>
        <v>18.573246187363836</v>
      </c>
      <c r="I46" s="224" t="s">
        <v>36</v>
      </c>
      <c r="J46" s="63"/>
      <c r="K46" s="63"/>
      <c r="L46" s="211"/>
      <c r="N46" s="275"/>
      <c r="O46" s="284">
        <v>40</v>
      </c>
      <c r="P46" s="141"/>
      <c r="Q46" s="48"/>
      <c r="R46" s="48"/>
      <c r="S46" s="48"/>
      <c r="T46" s="48"/>
      <c r="U46" s="48"/>
      <c r="V46" s="56"/>
      <c r="W46" s="48"/>
      <c r="X46" s="48"/>
      <c r="Y46" s="56"/>
      <c r="Z46" s="56"/>
      <c r="AA46" s="305"/>
      <c r="AB46" s="289"/>
      <c r="AC46" s="56"/>
      <c r="AD46" s="151"/>
      <c r="AE46" s="151"/>
      <c r="AF46" s="158"/>
    </row>
    <row r="47" spans="1:32" ht="12.75">
      <c r="A47" s="177"/>
      <c r="B47" s="164"/>
      <c r="C47" s="225"/>
      <c r="D47" s="225"/>
      <c r="E47" s="168"/>
      <c r="F47" s="168"/>
      <c r="G47" s="164"/>
      <c r="H47" s="163"/>
      <c r="I47" s="164"/>
      <c r="J47" s="164"/>
      <c r="K47" s="164"/>
      <c r="L47" s="226"/>
      <c r="N47" s="275"/>
      <c r="O47" s="284">
        <v>41</v>
      </c>
      <c r="P47" s="141"/>
      <c r="Q47" s="48"/>
      <c r="R47" s="48"/>
      <c r="S47" s="48"/>
      <c r="T47" s="48"/>
      <c r="U47" s="48"/>
      <c r="V47" s="56"/>
      <c r="W47" s="48"/>
      <c r="X47" s="48"/>
      <c r="Y47" s="56"/>
      <c r="Z47" s="56"/>
      <c r="AA47" s="305"/>
      <c r="AB47" s="289"/>
      <c r="AC47" s="56"/>
      <c r="AD47" s="151"/>
      <c r="AE47" s="151"/>
      <c r="AF47" s="158"/>
    </row>
    <row r="48" spans="1:32" ht="12.75">
      <c r="A48" s="177"/>
      <c r="B48" s="320" t="s">
        <v>103</v>
      </c>
      <c r="C48" s="320"/>
      <c r="D48" s="63"/>
      <c r="E48" s="76" t="s">
        <v>99</v>
      </c>
      <c r="F48" s="77">
        <v>560</v>
      </c>
      <c r="G48" s="227" t="s">
        <v>21</v>
      </c>
      <c r="H48" s="57"/>
      <c r="I48" s="63"/>
      <c r="J48" s="63"/>
      <c r="K48" s="63"/>
      <c r="L48" s="211"/>
      <c r="N48" s="276"/>
      <c r="O48" s="284">
        <v>42</v>
      </c>
      <c r="P48" s="141"/>
      <c r="Q48" s="48"/>
      <c r="R48" s="48"/>
      <c r="S48" s="48"/>
      <c r="T48" s="48"/>
      <c r="U48" s="48"/>
      <c r="V48" s="56"/>
      <c r="W48" s="48"/>
      <c r="X48" s="48"/>
      <c r="Y48" s="56"/>
      <c r="Z48" s="56"/>
      <c r="AA48" s="305"/>
      <c r="AB48" s="289"/>
      <c r="AC48" s="56"/>
      <c r="AD48" s="151"/>
      <c r="AE48" s="151"/>
      <c r="AF48" s="158"/>
    </row>
    <row r="49" spans="1:32" ht="12.75">
      <c r="A49" s="177"/>
      <c r="B49" s="63"/>
      <c r="C49" s="227"/>
      <c r="D49" s="227"/>
      <c r="E49" s="227"/>
      <c r="F49" s="227"/>
      <c r="G49" s="227"/>
      <c r="H49" s="227"/>
      <c r="I49" s="227"/>
      <c r="J49" s="228" t="s">
        <v>57</v>
      </c>
      <c r="K49" s="227"/>
      <c r="L49" s="211"/>
      <c r="N49" s="275"/>
      <c r="O49" s="284">
        <v>43</v>
      </c>
      <c r="P49" s="141"/>
      <c r="Q49" s="48"/>
      <c r="R49" s="48"/>
      <c r="S49" s="48"/>
      <c r="T49" s="48"/>
      <c r="U49" s="48"/>
      <c r="V49" s="56"/>
      <c r="W49" s="48"/>
      <c r="X49" s="48"/>
      <c r="Y49" s="56"/>
      <c r="Z49" s="56"/>
      <c r="AA49" s="305"/>
      <c r="AB49" s="289"/>
      <c r="AC49" s="56"/>
      <c r="AD49" s="151"/>
      <c r="AE49" s="151"/>
      <c r="AF49" s="158"/>
    </row>
    <row r="50" spans="1:32" ht="12.75">
      <c r="A50" s="229"/>
      <c r="B50" s="173"/>
      <c r="C50" s="228" t="s">
        <v>55</v>
      </c>
      <c r="D50" s="78">
        <f>+G50*F48</f>
        <v>43007.99999999999</v>
      </c>
      <c r="E50" s="230" t="s">
        <v>23</v>
      </c>
      <c r="F50" s="231" t="s">
        <v>56</v>
      </c>
      <c r="G50" s="79">
        <f>+G51/1.36</f>
        <v>76.79999999999998</v>
      </c>
      <c r="H50" s="230" t="s">
        <v>8</v>
      </c>
      <c r="I50" s="173"/>
      <c r="J50" s="80">
        <v>12000</v>
      </c>
      <c r="K50" s="230" t="s">
        <v>25</v>
      </c>
      <c r="L50" s="232"/>
      <c r="N50" s="276"/>
      <c r="O50" s="284">
        <v>44</v>
      </c>
      <c r="P50" s="141"/>
      <c r="Q50" s="48"/>
      <c r="R50" s="48"/>
      <c r="S50" s="48"/>
      <c r="T50" s="48"/>
      <c r="U50" s="48"/>
      <c r="V50" s="56"/>
      <c r="W50" s="48"/>
      <c r="X50" s="48"/>
      <c r="Y50" s="56"/>
      <c r="Z50" s="56"/>
      <c r="AA50" s="305"/>
      <c r="AB50" s="289"/>
      <c r="AC50" s="56"/>
      <c r="AD50" s="151"/>
      <c r="AE50" s="151"/>
      <c r="AF50" s="158"/>
    </row>
    <row r="51" spans="1:32" ht="12.75">
      <c r="A51" s="177"/>
      <c r="B51" s="63"/>
      <c r="C51" s="228" t="s">
        <v>58</v>
      </c>
      <c r="D51" s="114">
        <f>+E41</f>
        <v>5</v>
      </c>
      <c r="E51" s="230" t="s">
        <v>20</v>
      </c>
      <c r="F51" s="227"/>
      <c r="G51" s="81">
        <f>+I25</f>
        <v>104.448</v>
      </c>
      <c r="H51" s="230" t="s">
        <v>9</v>
      </c>
      <c r="I51" s="227"/>
      <c r="J51" s="80">
        <v>20</v>
      </c>
      <c r="K51" s="230" t="s">
        <v>26</v>
      </c>
      <c r="L51" s="233"/>
      <c r="N51" s="275"/>
      <c r="O51" s="284">
        <v>45</v>
      </c>
      <c r="P51" s="141"/>
      <c r="Q51" s="48"/>
      <c r="R51" s="48"/>
      <c r="S51" s="48"/>
      <c r="T51" s="48"/>
      <c r="U51" s="48"/>
      <c r="V51" s="56"/>
      <c r="W51" s="48"/>
      <c r="X51" s="48"/>
      <c r="Y51" s="56"/>
      <c r="Z51" s="56"/>
      <c r="AA51" s="305"/>
      <c r="AB51" s="289"/>
      <c r="AC51" s="56"/>
      <c r="AD51" s="151"/>
      <c r="AE51" s="151"/>
      <c r="AF51" s="158"/>
    </row>
    <row r="52" spans="1:32" ht="12.75">
      <c r="A52" s="177"/>
      <c r="B52" s="63"/>
      <c r="C52" s="228" t="s">
        <v>59</v>
      </c>
      <c r="D52" s="55">
        <f>+J32</f>
        <v>1</v>
      </c>
      <c r="E52" s="230" t="s">
        <v>32</v>
      </c>
      <c r="F52" s="227"/>
      <c r="G52" s="227"/>
      <c r="H52" s="227"/>
      <c r="I52" s="228" t="s">
        <v>27</v>
      </c>
      <c r="J52" s="77">
        <v>0.2</v>
      </c>
      <c r="K52" s="230" t="s">
        <v>20</v>
      </c>
      <c r="L52" s="234"/>
      <c r="N52" s="276"/>
      <c r="O52" s="284">
        <v>46</v>
      </c>
      <c r="P52" s="141"/>
      <c r="Q52" s="48"/>
      <c r="R52" s="48"/>
      <c r="S52" s="48"/>
      <c r="T52" s="48"/>
      <c r="U52" s="48"/>
      <c r="V52" s="56"/>
      <c r="W52" s="48"/>
      <c r="X52" s="48"/>
      <c r="Y52" s="56"/>
      <c r="Z52" s="56"/>
      <c r="AA52" s="305"/>
      <c r="AB52" s="289"/>
      <c r="AC52" s="56"/>
      <c r="AD52" s="151"/>
      <c r="AE52" s="151"/>
      <c r="AF52" s="158"/>
    </row>
    <row r="53" spans="1:32" ht="12.75">
      <c r="A53" s="177"/>
      <c r="B53" s="63"/>
      <c r="C53" s="227"/>
      <c r="D53" s="227"/>
      <c r="E53" s="227"/>
      <c r="F53" s="63"/>
      <c r="G53" s="63"/>
      <c r="H53" s="57"/>
      <c r="I53" s="228" t="s">
        <v>29</v>
      </c>
      <c r="J53" s="77">
        <v>0.1</v>
      </c>
      <c r="K53" s="230" t="s">
        <v>20</v>
      </c>
      <c r="L53" s="234"/>
      <c r="N53" s="275"/>
      <c r="O53" s="284">
        <v>47</v>
      </c>
      <c r="P53" s="141"/>
      <c r="Q53" s="48"/>
      <c r="R53" s="48"/>
      <c r="S53" s="48"/>
      <c r="T53" s="48"/>
      <c r="U53" s="48"/>
      <c r="V53" s="56"/>
      <c r="W53" s="48"/>
      <c r="X53" s="48"/>
      <c r="Y53" s="56"/>
      <c r="Z53" s="56"/>
      <c r="AA53" s="305"/>
      <c r="AB53" s="289"/>
      <c r="AC53" s="56"/>
      <c r="AD53" s="151"/>
      <c r="AE53" s="151"/>
      <c r="AF53" s="158"/>
    </row>
    <row r="54" spans="1:32" ht="12.75" customHeight="1">
      <c r="A54" s="177"/>
      <c r="B54" s="63"/>
      <c r="C54" s="230" t="s">
        <v>30</v>
      </c>
      <c r="D54" s="63"/>
      <c r="E54" s="82">
        <f>+H63/$J$32</f>
        <v>15.897599999999995</v>
      </c>
      <c r="F54" s="235" t="s">
        <v>31</v>
      </c>
      <c r="G54" s="227"/>
      <c r="H54" s="227"/>
      <c r="I54" s="236" t="s">
        <v>92</v>
      </c>
      <c r="J54" s="83">
        <v>0.2</v>
      </c>
      <c r="K54" s="235" t="s">
        <v>32</v>
      </c>
      <c r="L54" s="234"/>
      <c r="N54" s="276"/>
      <c r="O54" s="284">
        <v>48</v>
      </c>
      <c r="P54" s="141"/>
      <c r="Q54" s="48"/>
      <c r="R54" s="48"/>
      <c r="S54" s="48"/>
      <c r="T54" s="48"/>
      <c r="U54" s="48"/>
      <c r="V54" s="56"/>
      <c r="W54" s="48"/>
      <c r="X54" s="48"/>
      <c r="Y54" s="56"/>
      <c r="Z54" s="56"/>
      <c r="AA54" s="305"/>
      <c r="AB54" s="289"/>
      <c r="AC54" s="56"/>
      <c r="AD54" s="151"/>
      <c r="AE54" s="151"/>
      <c r="AF54" s="158"/>
    </row>
    <row r="55" spans="1:32" ht="12.75">
      <c r="A55" s="177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211"/>
      <c r="N55" s="275"/>
      <c r="O55" s="284">
        <v>49</v>
      </c>
      <c r="P55" s="141"/>
      <c r="Q55" s="48"/>
      <c r="R55" s="48"/>
      <c r="S55" s="48"/>
      <c r="T55" s="48"/>
      <c r="U55" s="48"/>
      <c r="V55" s="56"/>
      <c r="W55" s="48"/>
      <c r="X55" s="48"/>
      <c r="Y55" s="56"/>
      <c r="Z55" s="56"/>
      <c r="AA55" s="305"/>
      <c r="AB55" s="289"/>
      <c r="AC55" s="56"/>
      <c r="AD55" s="151"/>
      <c r="AE55" s="151"/>
      <c r="AF55" s="158"/>
    </row>
    <row r="56" spans="1:32" ht="13.5" thickBot="1">
      <c r="A56" s="177"/>
      <c r="B56" s="63"/>
      <c r="C56" s="63"/>
      <c r="D56" s="237" t="s">
        <v>60</v>
      </c>
      <c r="E56" s="61"/>
      <c r="F56" s="237" t="s">
        <v>61</v>
      </c>
      <c r="G56" s="237" t="s">
        <v>62</v>
      </c>
      <c r="H56" s="57"/>
      <c r="I56" s="91"/>
      <c r="J56" s="237" t="s">
        <v>63</v>
      </c>
      <c r="K56" s="235"/>
      <c r="L56" s="238"/>
      <c r="N56" s="277"/>
      <c r="O56" s="285">
        <v>50</v>
      </c>
      <c r="P56" s="143"/>
      <c r="Q56" s="144"/>
      <c r="R56" s="144"/>
      <c r="S56" s="144"/>
      <c r="T56" s="144"/>
      <c r="U56" s="144"/>
      <c r="V56" s="145"/>
      <c r="W56" s="144"/>
      <c r="X56" s="144"/>
      <c r="Y56" s="145"/>
      <c r="Z56" s="145"/>
      <c r="AA56" s="306"/>
      <c r="AB56" s="290"/>
      <c r="AC56" s="145"/>
      <c r="AD56" s="159"/>
      <c r="AE56" s="159"/>
      <c r="AF56" s="160"/>
    </row>
    <row r="57" spans="1:12" ht="12.75">
      <c r="A57" s="177"/>
      <c r="B57" s="63"/>
      <c r="C57" s="236" t="s">
        <v>64</v>
      </c>
      <c r="D57" s="115">
        <v>25</v>
      </c>
      <c r="E57" s="116">
        <v>40</v>
      </c>
      <c r="F57" s="117">
        <v>50</v>
      </c>
      <c r="G57" s="115">
        <v>75</v>
      </c>
      <c r="H57" s="116">
        <v>85</v>
      </c>
      <c r="I57" s="235" t="s">
        <v>20</v>
      </c>
      <c r="J57" s="10"/>
      <c r="K57" s="63"/>
      <c r="L57" s="211"/>
    </row>
    <row r="58" spans="1:12" ht="12.75">
      <c r="A58" s="177"/>
      <c r="B58" s="63"/>
      <c r="C58" s="236" t="s">
        <v>66</v>
      </c>
      <c r="D58" s="84">
        <v>0.1</v>
      </c>
      <c r="E58" s="85">
        <v>0.129</v>
      </c>
      <c r="F58" s="84">
        <v>0.15</v>
      </c>
      <c r="G58" s="84">
        <v>0.207</v>
      </c>
      <c r="H58" s="85">
        <v>0.236</v>
      </c>
      <c r="I58" s="235" t="s">
        <v>34</v>
      </c>
      <c r="J58" s="85">
        <f>IF(G59&lt;30,D58,IF(G59&lt;45,E58,IF(G59&lt;55,F58,IF(G59&lt;80,G58,IF(G59&lt;110,H58)))))</f>
        <v>0.207</v>
      </c>
      <c r="K58" s="63"/>
      <c r="L58" s="211"/>
    </row>
    <row r="59" spans="1:12" ht="12.75">
      <c r="A59" s="177"/>
      <c r="B59" s="63"/>
      <c r="C59" s="149" t="s">
        <v>104</v>
      </c>
      <c r="D59" s="86">
        <f>+I21</f>
        <v>75</v>
      </c>
      <c r="E59" s="63" t="s">
        <v>20</v>
      </c>
      <c r="F59" s="125" t="s">
        <v>105</v>
      </c>
      <c r="G59" s="87">
        <f>+E23*100/I25</f>
        <v>75</v>
      </c>
      <c r="H59" s="57" t="s">
        <v>20</v>
      </c>
      <c r="I59" s="91"/>
      <c r="J59" s="91"/>
      <c r="K59" s="227"/>
      <c r="L59" s="234"/>
    </row>
    <row r="60" spans="1:12" ht="12.75">
      <c r="A60" s="177"/>
      <c r="B60" s="63"/>
      <c r="C60" s="63"/>
      <c r="D60" s="63"/>
      <c r="E60" s="63"/>
      <c r="F60" s="61"/>
      <c r="G60" s="63"/>
      <c r="H60" s="57"/>
      <c r="I60" s="63"/>
      <c r="J60" s="63"/>
      <c r="K60" s="63"/>
      <c r="L60" s="211"/>
    </row>
    <row r="61" spans="1:12" ht="12.75" customHeight="1">
      <c r="A61" s="177"/>
      <c r="B61" s="63"/>
      <c r="C61" s="239" t="s">
        <v>123</v>
      </c>
      <c r="D61" s="321" t="s">
        <v>68</v>
      </c>
      <c r="E61" s="321"/>
      <c r="F61" s="321"/>
      <c r="G61" s="321"/>
      <c r="H61" s="91"/>
      <c r="I61" s="91"/>
      <c r="J61" s="237" t="s">
        <v>69</v>
      </c>
      <c r="K61" s="237" t="s">
        <v>69</v>
      </c>
      <c r="L61" s="211"/>
    </row>
    <row r="62" spans="1:12" ht="12.75">
      <c r="A62" s="177"/>
      <c r="B62" s="318">
        <v>800</v>
      </c>
      <c r="C62" s="63"/>
      <c r="D62" s="237" t="s">
        <v>71</v>
      </c>
      <c r="E62" s="237" t="s">
        <v>72</v>
      </c>
      <c r="F62" s="237" t="s">
        <v>73</v>
      </c>
      <c r="G62" s="237" t="s">
        <v>74</v>
      </c>
      <c r="H62" s="237" t="s">
        <v>75</v>
      </c>
      <c r="I62" s="237" t="s">
        <v>91</v>
      </c>
      <c r="J62" s="237" t="s">
        <v>77</v>
      </c>
      <c r="K62" s="237" t="s">
        <v>78</v>
      </c>
      <c r="L62" s="211"/>
    </row>
    <row r="63" spans="1:12" ht="12.75">
      <c r="A63" s="177"/>
      <c r="B63" s="63"/>
      <c r="C63" s="319">
        <f>+IF(B62&gt;E35,B62,E35)</f>
        <v>800</v>
      </c>
      <c r="D63" s="88">
        <f>+$D$50/$J$50</f>
        <v>3.583999999999999</v>
      </c>
      <c r="E63" s="88">
        <f>+$D$50/(J51*B62)</f>
        <v>2.6879999999999997</v>
      </c>
      <c r="F63" s="88">
        <f>+$D$50*D51*0.6/(B62*100)</f>
        <v>1.6127999999999996</v>
      </c>
      <c r="G63" s="88">
        <f>+$D$50*(J52+J53)/(100*B62)</f>
        <v>0.16128</v>
      </c>
      <c r="H63" s="88">
        <f>+$G$50*$J$58*$J$32</f>
        <v>15.897599999999995</v>
      </c>
      <c r="I63" s="88">
        <f>+$J$54*$J$58*G50</f>
        <v>3.1795199999999992</v>
      </c>
      <c r="J63" s="89">
        <f>SUM(D63:I63)</f>
        <v>27.123199999999994</v>
      </c>
      <c r="K63" s="93">
        <f>+J63-H63</f>
        <v>11.225599999999998</v>
      </c>
      <c r="L63" s="211"/>
    </row>
    <row r="64" spans="1:31" s="1" customFormat="1" ht="12.75">
      <c r="A64" s="177"/>
      <c r="B64" s="164"/>
      <c r="C64" s="170"/>
      <c r="D64" s="169"/>
      <c r="E64" s="168"/>
      <c r="F64" s="168"/>
      <c r="G64" s="169"/>
      <c r="H64" s="169"/>
      <c r="I64" s="169"/>
      <c r="J64" s="170"/>
      <c r="K64" s="171"/>
      <c r="L64" s="240"/>
      <c r="M64" s="172"/>
      <c r="N64" s="3"/>
      <c r="O64" s="7"/>
      <c r="P64" s="7"/>
      <c r="Q64" s="7"/>
      <c r="R64" s="7"/>
      <c r="S64" s="7"/>
      <c r="T64" s="7"/>
      <c r="U64" s="7"/>
      <c r="V64" s="3"/>
      <c r="W64" s="3"/>
      <c r="X64" s="4"/>
      <c r="Y64" s="3"/>
      <c r="Z64" s="3"/>
      <c r="AA64" s="3"/>
      <c r="AB64" s="3"/>
      <c r="AC64" s="3"/>
      <c r="AD64" s="3"/>
      <c r="AE64" s="3"/>
    </row>
    <row r="65" spans="1:31" ht="12.75">
      <c r="A65" s="177"/>
      <c r="B65" s="320" t="s">
        <v>106</v>
      </c>
      <c r="C65" s="320"/>
      <c r="D65" s="149" t="s">
        <v>96</v>
      </c>
      <c r="E65" s="90"/>
      <c r="F65" s="149" t="s">
        <v>107</v>
      </c>
      <c r="G65" s="173"/>
      <c r="H65" s="241" t="s">
        <v>108</v>
      </c>
      <c r="I65" s="173"/>
      <c r="J65" s="203" t="s">
        <v>185</v>
      </c>
      <c r="K65" s="63"/>
      <c r="L65" s="211"/>
      <c r="N65" s="1"/>
      <c r="O65" s="2"/>
      <c r="P65" s="2"/>
      <c r="Q65" s="2"/>
      <c r="R65" s="2"/>
      <c r="S65" s="2"/>
      <c r="T65" s="2"/>
      <c r="U65" s="2"/>
      <c r="V65" s="1"/>
      <c r="W65" s="1"/>
      <c r="Y65" s="1"/>
      <c r="Z65" s="1"/>
      <c r="AA65" s="1"/>
      <c r="AB65" s="1"/>
      <c r="AC65" s="1"/>
      <c r="AD65" s="1"/>
      <c r="AE65" s="1"/>
    </row>
    <row r="66" spans="1:12" ht="12.75">
      <c r="A66" s="177"/>
      <c r="B66" s="63"/>
      <c r="C66" s="242" t="str">
        <f>+Grada_de_discos</f>
        <v>Sembradora chorrillo - SD</v>
      </c>
      <c r="D66" s="55">
        <f>+H45</f>
        <v>42.625600000000006</v>
      </c>
      <c r="E66" s="62" t="s">
        <v>35</v>
      </c>
      <c r="F66" s="55">
        <f>+J63</f>
        <v>27.123199999999994</v>
      </c>
      <c r="G66" s="173" t="s">
        <v>35</v>
      </c>
      <c r="H66" s="314">
        <f>+D66+F66</f>
        <v>69.7488</v>
      </c>
      <c r="I66" s="173" t="s">
        <v>35</v>
      </c>
      <c r="J66" s="315">
        <f>+H66+K70</f>
        <v>79.7488</v>
      </c>
      <c r="K66" s="173" t="s">
        <v>35</v>
      </c>
      <c r="L66" s="211"/>
    </row>
    <row r="67" spans="1:12" ht="12.75">
      <c r="A67" s="177"/>
      <c r="B67" s="128">
        <f>+I35</f>
        <v>500</v>
      </c>
      <c r="C67" s="95" t="s">
        <v>127</v>
      </c>
      <c r="D67" s="55">
        <f>+H46</f>
        <v>18.573246187363836</v>
      </c>
      <c r="E67" s="62" t="s">
        <v>36</v>
      </c>
      <c r="F67" s="55">
        <f>+F66*E27</f>
        <v>11.818387799564267</v>
      </c>
      <c r="G67" s="63" t="s">
        <v>36</v>
      </c>
      <c r="H67" s="314">
        <f>+D67+F67</f>
        <v>30.391633986928102</v>
      </c>
      <c r="I67" s="63" t="s">
        <v>36</v>
      </c>
      <c r="J67" s="315">
        <f>+J66*E27</f>
        <v>34.748932461873636</v>
      </c>
      <c r="K67" s="63" t="s">
        <v>36</v>
      </c>
      <c r="L67" s="211"/>
    </row>
    <row r="68" spans="1:12" ht="12.75">
      <c r="A68" s="177"/>
      <c r="B68" s="63"/>
      <c r="C68" s="63"/>
      <c r="D68" s="116">
        <f>+E35</f>
        <v>217.86492374727666</v>
      </c>
      <c r="E68" s="62" t="s">
        <v>24</v>
      </c>
      <c r="F68" s="108"/>
      <c r="G68" s="63"/>
      <c r="H68" s="109"/>
      <c r="I68" s="63"/>
      <c r="L68" s="211"/>
    </row>
    <row r="69" spans="1:12" ht="12.75">
      <c r="A69" s="177"/>
      <c r="B69" s="317">
        <f>+C63</f>
        <v>800</v>
      </c>
      <c r="C69" s="95" t="s">
        <v>128</v>
      </c>
      <c r="D69" s="112" t="s">
        <v>115</v>
      </c>
      <c r="E69" s="113">
        <f>+G51</f>
        <v>104.448</v>
      </c>
      <c r="F69" s="95" t="s">
        <v>9</v>
      </c>
      <c r="G69" s="57"/>
      <c r="H69" s="125" t="s">
        <v>116</v>
      </c>
      <c r="I69" s="114">
        <f>+B62</f>
        <v>800</v>
      </c>
      <c r="J69" s="63" t="s">
        <v>24</v>
      </c>
      <c r="K69" s="313" t="s">
        <v>186</v>
      </c>
      <c r="L69" s="183">
        <v>100</v>
      </c>
    </row>
    <row r="70" spans="1:12" ht="12.75">
      <c r="A70" s="177"/>
      <c r="B70" s="63"/>
      <c r="C70" s="63"/>
      <c r="D70" s="218" t="s">
        <v>96</v>
      </c>
      <c r="E70" s="311">
        <f>+E13</f>
        <v>3</v>
      </c>
      <c r="F70" s="95" t="s">
        <v>2</v>
      </c>
      <c r="G70" s="57"/>
      <c r="H70" s="125" t="s">
        <v>117</v>
      </c>
      <c r="I70" s="96">
        <f>+I35</f>
        <v>500</v>
      </c>
      <c r="J70" s="63" t="s">
        <v>114</v>
      </c>
      <c r="K70" s="316">
        <f>+L69/10</f>
        <v>10</v>
      </c>
      <c r="L70" s="211"/>
    </row>
    <row r="71" spans="1:12" ht="12.75">
      <c r="A71" s="177"/>
      <c r="B71" s="311">
        <f>+J32</f>
        <v>1</v>
      </c>
      <c r="C71" s="243" t="s">
        <v>131</v>
      </c>
      <c r="D71" s="63"/>
      <c r="E71" s="218"/>
      <c r="F71" s="111"/>
      <c r="G71" s="95"/>
      <c r="H71" s="57"/>
      <c r="I71" s="125"/>
      <c r="J71" s="112"/>
      <c r="K71" s="63"/>
      <c r="L71" s="211"/>
    </row>
    <row r="72" spans="1:12" ht="12.75">
      <c r="A72" s="244"/>
      <c r="B72" s="10"/>
      <c r="C72" s="10"/>
      <c r="D72" s="125" t="s">
        <v>24</v>
      </c>
      <c r="E72" s="61" t="s">
        <v>35</v>
      </c>
      <c r="F72" s="245" t="s">
        <v>114</v>
      </c>
      <c r="G72" s="245" t="s">
        <v>113</v>
      </c>
      <c r="H72" s="245" t="s">
        <v>187</v>
      </c>
      <c r="I72" s="310" t="s">
        <v>184</v>
      </c>
      <c r="J72" s="10"/>
      <c r="L72" s="211"/>
    </row>
    <row r="73" spans="1:12" ht="12.75">
      <c r="A73" s="244"/>
      <c r="B73" s="10"/>
      <c r="C73" s="112" t="s">
        <v>125</v>
      </c>
      <c r="D73" s="308">
        <v>10</v>
      </c>
      <c r="E73" s="108">
        <f>+($E$37/$E$39)+($E$37/($E$40*D73))+($E$37*0.006*$E$41/D73)+($E$37*($E$42+$E$43)/(100*D73))+($E$44/$E$27)</f>
        <v>280.1965</v>
      </c>
      <c r="F73" s="105">
        <f>+D73*$E$28</f>
        <v>22.950000000000003</v>
      </c>
      <c r="G73" s="106">
        <f>+E73*$E$27</f>
        <v>122.08997821350762</v>
      </c>
      <c r="H73" s="124">
        <f>+G73+$F$67</f>
        <v>133.90836601307188</v>
      </c>
      <c r="I73" s="312">
        <f>+H73+$K$70*$E$27</f>
        <v>138.26566448801742</v>
      </c>
      <c r="J73" s="10"/>
      <c r="K73" s="10"/>
      <c r="L73" s="211"/>
    </row>
    <row r="74" spans="1:12" ht="12.75">
      <c r="A74" s="244"/>
      <c r="B74" s="10"/>
      <c r="C74" s="246">
        <f>+E13</f>
        <v>3</v>
      </c>
      <c r="D74" s="308">
        <v>25</v>
      </c>
      <c r="E74" s="108">
        <f aca="true" t="shared" si="1" ref="E74:E85">+($E$37/$E$39)+($E$37/($E$40*D74))+($E$37*0.006*$E$41/D74)+($E$37*($E$42+$E$43)/(100*D74))+($E$44/$E$27)</f>
        <v>130.7965</v>
      </c>
      <c r="F74" s="105">
        <f aca="true" t="shared" si="2" ref="F74:F85">+D74*$E$28</f>
        <v>57.37500000000001</v>
      </c>
      <c r="G74" s="106">
        <f aca="true" t="shared" si="3" ref="G74:G85">+E74*$E$27</f>
        <v>56.99193899782135</v>
      </c>
      <c r="H74" s="124">
        <f aca="true" t="shared" si="4" ref="H74:H85">+G74+$F$67</f>
        <v>68.81032679738561</v>
      </c>
      <c r="I74" s="312">
        <f aca="true" t="shared" si="5" ref="I74:I87">+H74+$K$70*$E$27</f>
        <v>73.16762527233115</v>
      </c>
      <c r="J74" s="10"/>
      <c r="K74" s="10"/>
      <c r="L74" s="211"/>
    </row>
    <row r="75" spans="1:12" ht="12.75">
      <c r="A75" s="244"/>
      <c r="B75" s="95" t="s">
        <v>126</v>
      </c>
      <c r="C75" s="95"/>
      <c r="D75" s="308">
        <v>50</v>
      </c>
      <c r="E75" s="108">
        <f t="shared" si="1"/>
        <v>80.9965</v>
      </c>
      <c r="F75" s="105">
        <f t="shared" si="2"/>
        <v>114.75000000000001</v>
      </c>
      <c r="G75" s="106">
        <f t="shared" si="3"/>
        <v>35.29259259259259</v>
      </c>
      <c r="H75" s="124">
        <f t="shared" si="4"/>
        <v>47.11098039215686</v>
      </c>
      <c r="I75" s="312">
        <f t="shared" si="5"/>
        <v>51.4682788671024</v>
      </c>
      <c r="J75" s="10"/>
      <c r="K75" s="10"/>
      <c r="L75" s="211"/>
    </row>
    <row r="76" spans="1:12" ht="12.75">
      <c r="A76" s="244"/>
      <c r="B76" s="130">
        <f>+E19</f>
        <v>9</v>
      </c>
      <c r="C76" s="95" t="s">
        <v>6</v>
      </c>
      <c r="D76" s="308">
        <v>75</v>
      </c>
      <c r="E76" s="108">
        <f t="shared" si="1"/>
        <v>64.3965</v>
      </c>
      <c r="F76" s="105">
        <f t="shared" si="2"/>
        <v>172.12500000000003</v>
      </c>
      <c r="G76" s="106">
        <f t="shared" si="3"/>
        <v>28.059477124183005</v>
      </c>
      <c r="H76" s="124">
        <f t="shared" si="4"/>
        <v>39.87786492374727</v>
      </c>
      <c r="I76" s="312">
        <f t="shared" si="5"/>
        <v>44.235163398692805</v>
      </c>
      <c r="J76" s="10"/>
      <c r="K76" s="10"/>
      <c r="L76" s="211"/>
    </row>
    <row r="77" spans="1:12" ht="12.75">
      <c r="A77" s="244"/>
      <c r="B77" s="10"/>
      <c r="C77" s="10"/>
      <c r="D77" s="308">
        <v>100</v>
      </c>
      <c r="E77" s="108">
        <f t="shared" si="1"/>
        <v>56.0965</v>
      </c>
      <c r="F77" s="105">
        <f t="shared" si="2"/>
        <v>229.50000000000003</v>
      </c>
      <c r="G77" s="106">
        <f t="shared" si="3"/>
        <v>24.44291938997821</v>
      </c>
      <c r="H77" s="124">
        <f t="shared" si="4"/>
        <v>36.26130718954248</v>
      </c>
      <c r="I77" s="312">
        <f t="shared" si="5"/>
        <v>40.618605664488015</v>
      </c>
      <c r="J77" s="10"/>
      <c r="K77" s="10"/>
      <c r="L77" s="211"/>
    </row>
    <row r="78" spans="1:12" ht="12.75">
      <c r="A78" s="244"/>
      <c r="B78" s="10"/>
      <c r="C78" s="10"/>
      <c r="D78" s="308">
        <v>150</v>
      </c>
      <c r="E78" s="108">
        <f t="shared" si="1"/>
        <v>47.7965</v>
      </c>
      <c r="F78" s="105">
        <f t="shared" si="2"/>
        <v>344.25000000000006</v>
      </c>
      <c r="G78" s="106">
        <f t="shared" si="3"/>
        <v>20.826361655773418</v>
      </c>
      <c r="H78" s="124">
        <f t="shared" si="4"/>
        <v>32.64474945533769</v>
      </c>
      <c r="I78" s="312">
        <f t="shared" si="5"/>
        <v>37.002047930283226</v>
      </c>
      <c r="J78" s="10"/>
      <c r="K78" s="10"/>
      <c r="L78" s="211"/>
    </row>
    <row r="79" spans="1:12" ht="12.75">
      <c r="A79" s="244"/>
      <c r="B79" s="10"/>
      <c r="C79" s="10"/>
      <c r="D79" s="308">
        <v>200</v>
      </c>
      <c r="E79" s="108">
        <f t="shared" si="1"/>
        <v>43.6465</v>
      </c>
      <c r="F79" s="105">
        <f t="shared" si="2"/>
        <v>459.00000000000006</v>
      </c>
      <c r="G79" s="106">
        <f t="shared" si="3"/>
        <v>19.018082788671023</v>
      </c>
      <c r="H79" s="124">
        <f t="shared" si="4"/>
        <v>30.83647058823529</v>
      </c>
      <c r="I79" s="312">
        <f t="shared" si="5"/>
        <v>35.193769063180824</v>
      </c>
      <c r="J79" s="10"/>
      <c r="K79" s="10"/>
      <c r="L79" s="211"/>
    </row>
    <row r="80" spans="1:12" ht="12.75">
      <c r="A80" s="244"/>
      <c r="B80" s="10"/>
      <c r="C80" s="10"/>
      <c r="D80" s="308">
        <v>250</v>
      </c>
      <c r="E80" s="108">
        <f t="shared" si="1"/>
        <v>41.1565</v>
      </c>
      <c r="F80" s="105">
        <f t="shared" si="2"/>
        <v>573.7500000000001</v>
      </c>
      <c r="G80" s="106">
        <f t="shared" si="3"/>
        <v>17.933115468409586</v>
      </c>
      <c r="H80" s="124">
        <f t="shared" si="4"/>
        <v>29.751503267973852</v>
      </c>
      <c r="I80" s="312">
        <f t="shared" si="5"/>
        <v>34.10880174291938</v>
      </c>
      <c r="J80" s="10"/>
      <c r="K80" s="10"/>
      <c r="L80" s="211"/>
    </row>
    <row r="81" spans="1:12" ht="12.75">
      <c r="A81" s="244"/>
      <c r="B81" s="10"/>
      <c r="C81" s="10"/>
      <c r="D81" s="308">
        <v>300</v>
      </c>
      <c r="E81" s="108">
        <f t="shared" si="1"/>
        <v>39.4965</v>
      </c>
      <c r="F81" s="105">
        <f t="shared" si="2"/>
        <v>688.5000000000001</v>
      </c>
      <c r="G81" s="106">
        <f t="shared" si="3"/>
        <v>17.209803921568625</v>
      </c>
      <c r="H81" s="124">
        <f t="shared" si="4"/>
        <v>29.02819172113289</v>
      </c>
      <c r="I81" s="312">
        <f t="shared" si="5"/>
        <v>33.38549019607842</v>
      </c>
      <c r="J81" s="10"/>
      <c r="K81" s="10"/>
      <c r="L81" s="211"/>
    </row>
    <row r="82" spans="1:12" ht="12.75">
      <c r="A82" s="244"/>
      <c r="B82" s="10"/>
      <c r="C82" s="10"/>
      <c r="D82" s="308">
        <v>350</v>
      </c>
      <c r="E82" s="108">
        <f t="shared" si="1"/>
        <v>38.310785714285714</v>
      </c>
      <c r="F82" s="105">
        <f t="shared" si="2"/>
        <v>803.2500000000001</v>
      </c>
      <c r="G82" s="124">
        <f t="shared" si="3"/>
        <v>16.69315281668223</v>
      </c>
      <c r="H82" s="124">
        <f t="shared" si="4"/>
        <v>28.511540616246496</v>
      </c>
      <c r="I82" s="312">
        <f t="shared" si="5"/>
        <v>32.86883909119203</v>
      </c>
      <c r="J82" s="10"/>
      <c r="K82" s="10"/>
      <c r="L82" s="211"/>
    </row>
    <row r="83" spans="1:12" ht="12.75">
      <c r="A83" s="244"/>
      <c r="B83" s="10"/>
      <c r="C83" s="10"/>
      <c r="D83" s="308">
        <v>400</v>
      </c>
      <c r="E83" s="108">
        <f t="shared" si="1"/>
        <v>37.4215</v>
      </c>
      <c r="F83" s="105">
        <f t="shared" si="2"/>
        <v>918.0000000000001</v>
      </c>
      <c r="G83" s="124">
        <f t="shared" si="3"/>
        <v>16.305664488017428</v>
      </c>
      <c r="H83" s="124">
        <f t="shared" si="4"/>
        <v>28.124052287581694</v>
      </c>
      <c r="I83" s="312">
        <f t="shared" si="5"/>
        <v>32.48135076252723</v>
      </c>
      <c r="J83" s="10"/>
      <c r="K83" s="10"/>
      <c r="L83" s="211"/>
    </row>
    <row r="84" spans="1:12" ht="12.75">
      <c r="A84" s="244"/>
      <c r="B84" s="10"/>
      <c r="C84" s="10"/>
      <c r="D84" s="308">
        <v>450</v>
      </c>
      <c r="E84" s="108">
        <f t="shared" si="1"/>
        <v>36.72983333333333</v>
      </c>
      <c r="F84" s="105">
        <f t="shared" si="2"/>
        <v>1032.7500000000002</v>
      </c>
      <c r="G84" s="124">
        <f t="shared" si="3"/>
        <v>16.004284676833695</v>
      </c>
      <c r="H84" s="124">
        <f t="shared" si="4"/>
        <v>27.822672476397962</v>
      </c>
      <c r="I84" s="312">
        <f t="shared" si="5"/>
        <v>32.17997095134349</v>
      </c>
      <c r="J84" s="10"/>
      <c r="K84" s="10"/>
      <c r="L84" s="211"/>
    </row>
    <row r="85" spans="1:12" ht="12.75">
      <c r="A85" s="244"/>
      <c r="B85" s="10"/>
      <c r="C85" s="10"/>
      <c r="D85" s="63">
        <v>500</v>
      </c>
      <c r="E85" s="108">
        <f t="shared" si="1"/>
        <v>36.176500000000004</v>
      </c>
      <c r="F85" s="105">
        <f t="shared" si="2"/>
        <v>1147.5000000000002</v>
      </c>
      <c r="G85" s="124">
        <f t="shared" si="3"/>
        <v>15.76318082788671</v>
      </c>
      <c r="H85" s="124">
        <f t="shared" si="4"/>
        <v>27.581568627450977</v>
      </c>
      <c r="I85" s="312">
        <f t="shared" si="5"/>
        <v>31.93886710239651</v>
      </c>
      <c r="J85" s="10"/>
      <c r="K85" s="10"/>
      <c r="L85" s="211"/>
    </row>
    <row r="86" spans="1:12" ht="12.75">
      <c r="A86" s="244"/>
      <c r="B86" s="10"/>
      <c r="C86" s="10"/>
      <c r="D86" s="308">
        <f>IF(D68&lt;500,600,D68)</f>
        <v>600</v>
      </c>
      <c r="E86" s="108">
        <f>+($E$37/$E$39)+($E$37/($E$40*D86))+($E$37*0.006*$E$41/D86)+($E$37*($E$42+$E$43)/(100*D86))+($E$44/$E$27)</f>
        <v>35.3465</v>
      </c>
      <c r="F86" s="105">
        <f>+D86*$E$28</f>
        <v>1377.0000000000002</v>
      </c>
      <c r="G86" s="106">
        <f>+E86*$E$27</f>
        <v>15.40152505446623</v>
      </c>
      <c r="H86" s="124">
        <f>+G86+$F$67</f>
        <v>27.219912854030497</v>
      </c>
      <c r="I86" s="312">
        <f t="shared" si="5"/>
        <v>31.57721132897603</v>
      </c>
      <c r="J86" s="10"/>
      <c r="K86" s="10"/>
      <c r="L86" s="211"/>
    </row>
    <row r="87" spans="1:12" ht="12.75">
      <c r="A87" s="244"/>
      <c r="B87" s="10"/>
      <c r="C87" s="10"/>
      <c r="D87" s="308">
        <f>+D86+25</f>
        <v>625</v>
      </c>
      <c r="E87" s="108">
        <f>+($E$37/$E$39)+($E$37/($E$40*D87))+($E$37*0.006*$E$41/D87)+($E$37*($E$42+$E$43)/(100*D87))+($E$44/$E$27)</f>
        <v>35.1805</v>
      </c>
      <c r="F87" s="105">
        <f>+D87*$E$28</f>
        <v>1434.3750000000002</v>
      </c>
      <c r="G87" s="106">
        <f>+E87*$E$27</f>
        <v>15.329193899782135</v>
      </c>
      <c r="H87" s="124">
        <f>+G87+$F$67</f>
        <v>27.147581699346404</v>
      </c>
      <c r="I87" s="312">
        <f t="shared" si="5"/>
        <v>31.504880174291937</v>
      </c>
      <c r="J87" s="10"/>
      <c r="K87" s="10"/>
      <c r="L87" s="211"/>
    </row>
    <row r="88" spans="1:12" ht="12.75">
      <c r="A88" s="244"/>
      <c r="B88" s="95" t="s">
        <v>130</v>
      </c>
      <c r="C88" s="247"/>
      <c r="F88" s="126">
        <f>+I70</f>
        <v>500</v>
      </c>
      <c r="H88" s="309">
        <v>0</v>
      </c>
      <c r="J88" s="10"/>
      <c r="K88" s="10"/>
      <c r="L88" s="211"/>
    </row>
    <row r="89" spans="1:12" ht="12.75">
      <c r="A89" s="244"/>
      <c r="B89" s="129">
        <f>+E12</f>
        <v>10</v>
      </c>
      <c r="C89" s="95" t="s">
        <v>0</v>
      </c>
      <c r="F89" s="126">
        <f>+I70</f>
        <v>500</v>
      </c>
      <c r="G89" s="127">
        <f>+D67</f>
        <v>18.573246187363836</v>
      </c>
      <c r="H89" s="127">
        <f>+H67</f>
        <v>30.391633986928102</v>
      </c>
      <c r="I89" s="55">
        <f>+J67</f>
        <v>34.748932461873636</v>
      </c>
      <c r="J89" s="10"/>
      <c r="K89" s="10"/>
      <c r="L89" s="211"/>
    </row>
    <row r="90" spans="1:12" ht="12.75">
      <c r="A90" s="244"/>
      <c r="B90" s="10"/>
      <c r="C90" s="10"/>
      <c r="D90" s="10"/>
      <c r="E90" s="5"/>
      <c r="F90" s="248"/>
      <c r="G90" s="10"/>
      <c r="H90" s="196"/>
      <c r="I90" s="10">
        <v>0</v>
      </c>
      <c r="J90" s="10"/>
      <c r="K90" s="10"/>
      <c r="L90" s="211"/>
    </row>
    <row r="91" spans="1:12" ht="12.75">
      <c r="A91" s="244"/>
      <c r="B91" s="10"/>
      <c r="C91" s="197" t="s">
        <v>188</v>
      </c>
      <c r="D91" s="10"/>
      <c r="E91" s="218" t="s">
        <v>129</v>
      </c>
      <c r="F91" s="110">
        <f>+G59</f>
        <v>75</v>
      </c>
      <c r="G91" s="249" t="str">
        <f>IF(K25,0,"x")</f>
        <v>x</v>
      </c>
      <c r="H91" s="125"/>
      <c r="I91" s="10"/>
      <c r="J91" s="250">
        <f>IF(K25,"x",0)</f>
        <v>0</v>
      </c>
      <c r="K91" s="10"/>
      <c r="L91" s="211"/>
    </row>
    <row r="92" spans="1:12" ht="12.75">
      <c r="A92" s="244"/>
      <c r="B92" s="10"/>
      <c r="C92" s="64" t="s">
        <v>189</v>
      </c>
      <c r="D92" s="10"/>
      <c r="E92" s="5"/>
      <c r="F92" s="251" t="s">
        <v>122</v>
      </c>
      <c r="G92" s="123">
        <f>+I24</f>
        <v>104.448</v>
      </c>
      <c r="H92" s="252"/>
      <c r="I92" s="253" t="s">
        <v>121</v>
      </c>
      <c r="J92" s="98">
        <f>+IF(G59&lt;100,E69)</f>
        <v>104.448</v>
      </c>
      <c r="K92" s="10" t="s">
        <v>9</v>
      </c>
      <c r="L92" s="211"/>
    </row>
    <row r="93" spans="1:12" ht="12.75">
      <c r="A93" s="244"/>
      <c r="B93" s="10"/>
      <c r="C93" s="314">
        <f>+E27</f>
        <v>0.43572984749455335</v>
      </c>
      <c r="D93" s="10"/>
      <c r="E93" s="5"/>
      <c r="F93" s="5"/>
      <c r="G93" s="10"/>
      <c r="H93" s="196"/>
      <c r="I93" s="10"/>
      <c r="J93" s="10"/>
      <c r="K93" s="10"/>
      <c r="L93" s="211"/>
    </row>
    <row r="94" spans="1:12" ht="12.75">
      <c r="A94" s="254"/>
      <c r="B94" s="255"/>
      <c r="C94" s="255"/>
      <c r="D94" s="255"/>
      <c r="E94" s="256"/>
      <c r="F94" s="256"/>
      <c r="G94" s="255"/>
      <c r="H94" s="257"/>
      <c r="I94" s="255"/>
      <c r="J94" s="255"/>
      <c r="K94" s="255"/>
      <c r="L94" s="258"/>
    </row>
    <row r="109" spans="15:34" ht="12.75" hidden="1">
      <c r="O109" s="131">
        <v>1</v>
      </c>
      <c r="P109" s="131">
        <v>2</v>
      </c>
      <c r="Q109" s="131">
        <v>3</v>
      </c>
      <c r="R109" s="131">
        <v>4</v>
      </c>
      <c r="S109" s="131">
        <v>5</v>
      </c>
      <c r="T109" s="131">
        <v>6</v>
      </c>
      <c r="U109" s="131">
        <v>7</v>
      </c>
      <c r="V109" s="131">
        <v>8</v>
      </c>
      <c r="W109" s="131">
        <v>9</v>
      </c>
      <c r="X109" s="132">
        <v>10</v>
      </c>
      <c r="Y109" s="131">
        <v>11</v>
      </c>
      <c r="Z109" s="131">
        <v>12</v>
      </c>
      <c r="AA109" s="131">
        <v>13</v>
      </c>
      <c r="AB109" s="131">
        <v>14</v>
      </c>
      <c r="AC109" s="131">
        <v>15</v>
      </c>
      <c r="AD109" s="131">
        <v>16</v>
      </c>
      <c r="AE109" s="131">
        <v>17</v>
      </c>
      <c r="AF109" s="131">
        <v>18</v>
      </c>
      <c r="AG109" s="131">
        <v>19</v>
      </c>
      <c r="AH109" s="131">
        <v>20</v>
      </c>
    </row>
    <row r="110" spans="14:32" ht="13.5" hidden="1" thickBot="1">
      <c r="N110" s="281" t="s">
        <v>145</v>
      </c>
      <c r="O110" s="278">
        <f>+O111</f>
        <v>12</v>
      </c>
      <c r="P110" s="133">
        <f>+P111</f>
        <v>800</v>
      </c>
      <c r="Q110" s="133">
        <f>+Q111</f>
        <v>300</v>
      </c>
      <c r="R110" s="133">
        <f>+R111</f>
        <v>15</v>
      </c>
      <c r="S110" s="133">
        <f>+S111</f>
        <v>10</v>
      </c>
      <c r="T110" s="133">
        <f aca="true" t="shared" si="6" ref="T110:AF110">+T111</f>
        <v>5</v>
      </c>
      <c r="U110" s="133">
        <f t="shared" si="6"/>
        <v>12</v>
      </c>
      <c r="V110" s="162">
        <f t="shared" si="6"/>
        <v>0.8</v>
      </c>
      <c r="W110" s="133">
        <f t="shared" si="6"/>
        <v>1200</v>
      </c>
      <c r="X110" s="133">
        <f t="shared" si="6"/>
        <v>20</v>
      </c>
      <c r="Y110" s="133">
        <f t="shared" si="6"/>
        <v>2.7</v>
      </c>
      <c r="Z110" s="133">
        <f t="shared" si="6"/>
        <v>10000</v>
      </c>
      <c r="AA110" s="133">
        <f t="shared" si="6"/>
        <v>1000</v>
      </c>
      <c r="AB110" s="162" t="str">
        <f t="shared" si="6"/>
        <v>Resist.esp.</v>
      </c>
      <c r="AC110" s="162" t="str">
        <f t="shared" si="6"/>
        <v>Suelo</v>
      </c>
      <c r="AD110" s="162">
        <f t="shared" si="6"/>
        <v>40</v>
      </c>
      <c r="AE110" s="162">
        <f t="shared" si="6"/>
        <v>60</v>
      </c>
      <c r="AF110" s="162">
        <f t="shared" si="6"/>
        <v>80</v>
      </c>
    </row>
    <row r="111" spans="14:32" ht="13.5" hidden="1" thickBot="1">
      <c r="N111" s="282" t="str">
        <f>VLOOKUP($N$110,N7:AB56,1,FALSE)</f>
        <v>Sembradora chorrillo - SD</v>
      </c>
      <c r="O111" s="157">
        <f>VLOOKUP($N$110,$N7:$AC56,2,FALSE)</f>
        <v>12</v>
      </c>
      <c r="P111" s="157">
        <f>VLOOKUP($O$111,O7:AF56,2)</f>
        <v>800</v>
      </c>
      <c r="Q111" s="157">
        <f>VLOOKUP($O$111,$O7:$AF56,3)</f>
        <v>300</v>
      </c>
      <c r="R111" s="157">
        <f>VLOOKUP($O$111,$O7:$AF56,4)</f>
        <v>15</v>
      </c>
      <c r="S111" s="157">
        <f>VLOOKUP($O$111,$O7:$AF56,5)</f>
        <v>10</v>
      </c>
      <c r="T111" s="157">
        <f>VLOOKUP($O$111,$O7:$AF56,6)</f>
        <v>5</v>
      </c>
      <c r="U111" s="157">
        <f>VLOOKUP($O$111,$O7:$AF56,7)</f>
        <v>12</v>
      </c>
      <c r="V111" s="157">
        <f>VLOOKUP($O$111,$O7:$AF56,8)</f>
        <v>0.8</v>
      </c>
      <c r="W111" s="157">
        <f>VLOOKUP($O$111,$O7:$AF56,9)</f>
        <v>1200</v>
      </c>
      <c r="X111" s="157">
        <f>VLOOKUP($O$111,$O7:$AF56,10)</f>
        <v>20</v>
      </c>
      <c r="Y111" s="157">
        <f>VLOOKUP($O$111,$O7:$AF56,11)</f>
        <v>2.7</v>
      </c>
      <c r="Z111" s="157">
        <f>VLOOKUP($O$111,$O7:$AF56,12)</f>
        <v>10000</v>
      </c>
      <c r="AA111" s="157">
        <f>VLOOKUP($O$111,$O7:$AF56,13)</f>
        <v>1000</v>
      </c>
      <c r="AB111" s="134" t="str">
        <f>VLOOKUP($O$111,$O7:$AF56,14)</f>
        <v>Resist.esp.</v>
      </c>
      <c r="AC111" s="134" t="str">
        <f>VLOOKUP($O$111,$O7:$AF56,15)</f>
        <v>Suelo</v>
      </c>
      <c r="AD111" s="134">
        <f>VLOOKUP($O$111,$O7:$AF56,16)</f>
        <v>40</v>
      </c>
      <c r="AE111" s="134">
        <f>VLOOKUP($O$111,$O7:$AF56,17)</f>
        <v>60</v>
      </c>
      <c r="AF111" s="134">
        <f>VLOOKUP($O$111,$O7:$AF56,18)</f>
        <v>80</v>
      </c>
    </row>
  </sheetData>
  <sheetProtection/>
  <mergeCells count="28">
    <mergeCell ref="AB5:AF5"/>
    <mergeCell ref="B41:C41"/>
    <mergeCell ref="B23:C23"/>
    <mergeCell ref="P4:Q4"/>
    <mergeCell ref="J9:K9"/>
    <mergeCell ref="B39:C39"/>
    <mergeCell ref="J26:K26"/>
    <mergeCell ref="T4:U4"/>
    <mergeCell ref="R4:S4"/>
    <mergeCell ref="W4:X4"/>
    <mergeCell ref="B65:C65"/>
    <mergeCell ref="J34:K34"/>
    <mergeCell ref="B19:C19"/>
    <mergeCell ref="B44:C44"/>
    <mergeCell ref="B34:C34"/>
    <mergeCell ref="J21:K21"/>
    <mergeCell ref="J24:K24"/>
    <mergeCell ref="B43:C43"/>
    <mergeCell ref="B35:C35"/>
    <mergeCell ref="B42:C42"/>
    <mergeCell ref="B48:C48"/>
    <mergeCell ref="D61:G61"/>
    <mergeCell ref="J15:K15"/>
    <mergeCell ref="B13:C13"/>
    <mergeCell ref="B14:C14"/>
    <mergeCell ref="B20:C20"/>
    <mergeCell ref="B30:C30"/>
    <mergeCell ref="J27:K27"/>
  </mergeCells>
  <conditionalFormatting sqref="K16:K18">
    <cfRule type="cellIs" priority="1" dxfId="0" operator="equal" stopIfTrue="1">
      <formula>$I$21</formula>
    </cfRule>
  </conditionalFormatting>
  <conditionalFormatting sqref="K35:K36">
    <cfRule type="cellIs" priority="2" dxfId="0" operator="equal" stopIfTrue="1">
      <formula>$E$35</formula>
    </cfRule>
  </conditionalFormatting>
  <conditionalFormatting sqref="K33">
    <cfRule type="expression" priority="3" dxfId="0" stopIfTrue="1">
      <formula>$I$21=25</formula>
    </cfRule>
  </conditionalFormatting>
  <conditionalFormatting sqref="K28:K29">
    <cfRule type="cellIs" priority="4" dxfId="0" operator="equal" stopIfTrue="1">
      <formula>$I$26</formula>
    </cfRule>
    <cfRule type="cellIs" priority="5" dxfId="2" operator="notEqual" stopIfTrue="1">
      <formula>$I$26</formula>
    </cfRule>
  </conditionalFormatting>
  <conditionalFormatting sqref="K10:K12">
    <cfRule type="cellIs" priority="6" dxfId="0" operator="equal" stopIfTrue="1">
      <formula>$E$26</formula>
    </cfRule>
  </conditionalFormatting>
  <conditionalFormatting sqref="K5:K7">
    <cfRule type="cellIs" priority="7" dxfId="0" operator="equal" stopIfTrue="1">
      <formula>$E$16</formula>
    </cfRule>
  </conditionalFormatting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K56"/>
  <sheetViews>
    <sheetView zoomScale="75" zoomScaleNormal="75" zoomScalePageLayoutView="0" workbookViewId="0" topLeftCell="A1">
      <selection activeCell="L6" sqref="L6"/>
    </sheetView>
  </sheetViews>
  <sheetFormatPr defaultColWidth="11.421875" defaultRowHeight="12.75"/>
  <cols>
    <col min="1" max="1" width="13.00390625" style="0" customWidth="1"/>
    <col min="8" max="8" width="6.421875" style="0" customWidth="1"/>
  </cols>
  <sheetData>
    <row r="2" spans="1:10" ht="12.75">
      <c r="A2" s="11" t="s">
        <v>55</v>
      </c>
      <c r="B2" s="14">
        <f>+E2*E5</f>
        <v>20000</v>
      </c>
      <c r="C2" s="12" t="s">
        <v>23</v>
      </c>
      <c r="D2" s="11" t="s">
        <v>56</v>
      </c>
      <c r="E2" s="14">
        <f>+J3</f>
        <v>50</v>
      </c>
      <c r="F2" s="12" t="s">
        <v>8</v>
      </c>
      <c r="G2" s="11" t="s">
        <v>57</v>
      </c>
      <c r="H2" s="15">
        <v>12000</v>
      </c>
      <c r="I2" s="12" t="s">
        <v>25</v>
      </c>
      <c r="J2" s="16" t="s">
        <v>56</v>
      </c>
    </row>
    <row r="3" spans="1:11" ht="12.75">
      <c r="A3" s="11" t="s">
        <v>58</v>
      </c>
      <c r="B3" s="146">
        <v>7</v>
      </c>
      <c r="C3" s="12" t="s">
        <v>20</v>
      </c>
      <c r="E3" s="17">
        <f>+E2*1.36</f>
        <v>68</v>
      </c>
      <c r="F3" s="12" t="s">
        <v>9</v>
      </c>
      <c r="H3" s="15">
        <v>20</v>
      </c>
      <c r="I3" s="12" t="s">
        <v>26</v>
      </c>
      <c r="J3" s="14">
        <v>50</v>
      </c>
      <c r="K3" t="s">
        <v>8</v>
      </c>
    </row>
    <row r="4" spans="1:3" ht="12.75">
      <c r="A4" s="11" t="s">
        <v>59</v>
      </c>
      <c r="B4" s="146">
        <v>1</v>
      </c>
      <c r="C4" s="12" t="s">
        <v>32</v>
      </c>
    </row>
    <row r="5" spans="5:9" ht="12.75">
      <c r="E5" s="14">
        <v>400</v>
      </c>
      <c r="F5" t="s">
        <v>21</v>
      </c>
      <c r="G5" s="11" t="s">
        <v>27</v>
      </c>
      <c r="H5" s="14">
        <v>0.2</v>
      </c>
      <c r="I5" s="12" t="s">
        <v>20</v>
      </c>
    </row>
    <row r="6" spans="2:9" ht="12.75">
      <c r="B6" s="12" t="s">
        <v>30</v>
      </c>
      <c r="G6" s="11" t="s">
        <v>29</v>
      </c>
      <c r="H6" s="14">
        <v>0.1</v>
      </c>
      <c r="I6" s="12" t="s">
        <v>20</v>
      </c>
    </row>
    <row r="7" spans="1:10" ht="12.75">
      <c r="A7" s="13"/>
      <c r="B7" s="18" t="s">
        <v>60</v>
      </c>
      <c r="C7" s="18" t="s">
        <v>61</v>
      </c>
      <c r="D7" s="18" t="s">
        <v>62</v>
      </c>
      <c r="E7" s="13"/>
      <c r="F7" s="18" t="s">
        <v>63</v>
      </c>
      <c r="G7" s="13"/>
      <c r="H7" s="13"/>
      <c r="I7" s="19"/>
      <c r="J7" s="13"/>
    </row>
    <row r="8" spans="1:11" ht="12.75">
      <c r="A8" s="20" t="s">
        <v>64</v>
      </c>
      <c r="B8" s="21">
        <v>25</v>
      </c>
      <c r="C8" s="22">
        <v>50</v>
      </c>
      <c r="D8" s="21">
        <v>75</v>
      </c>
      <c r="E8" s="19" t="s">
        <v>20</v>
      </c>
      <c r="F8" s="23">
        <f>+K10/1000</f>
        <v>0.15</v>
      </c>
      <c r="H8" s="13"/>
      <c r="I8" s="20" t="s">
        <v>65</v>
      </c>
      <c r="J8" s="94">
        <v>0.2</v>
      </c>
      <c r="K8" s="19" t="s">
        <v>32</v>
      </c>
    </row>
    <row r="9" spans="1:11" ht="12.75">
      <c r="A9" s="20" t="s">
        <v>66</v>
      </c>
      <c r="B9" s="24">
        <v>0.1</v>
      </c>
      <c r="C9" s="25">
        <v>0.15</v>
      </c>
      <c r="D9" s="24">
        <v>0.207</v>
      </c>
      <c r="E9" s="19" t="s">
        <v>34</v>
      </c>
      <c r="H9" s="13"/>
      <c r="I9" s="26" t="s">
        <v>67</v>
      </c>
      <c r="J9" s="21">
        <f>+F13/$B$4</f>
        <v>7.5</v>
      </c>
      <c r="K9" s="19" t="s">
        <v>31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K10" s="27">
        <v>150</v>
      </c>
    </row>
    <row r="11" spans="1:11" ht="12.75">
      <c r="A11" s="13"/>
      <c r="B11" s="19" t="s">
        <v>68</v>
      </c>
      <c r="C11" s="13"/>
      <c r="D11" s="13"/>
      <c r="E11" s="13"/>
      <c r="F11" s="13"/>
      <c r="G11" s="13"/>
      <c r="I11" s="18" t="s">
        <v>69</v>
      </c>
      <c r="J11" s="18" t="s">
        <v>69</v>
      </c>
      <c r="K11" s="13"/>
    </row>
    <row r="12" spans="1:11" ht="12.75">
      <c r="A12" s="18" t="s">
        <v>70</v>
      </c>
      <c r="B12" s="18" t="s">
        <v>71</v>
      </c>
      <c r="C12" s="18" t="s">
        <v>72</v>
      </c>
      <c r="D12" s="18" t="s">
        <v>73</v>
      </c>
      <c r="E12" s="18" t="s">
        <v>74</v>
      </c>
      <c r="F12" s="18" t="s">
        <v>75</v>
      </c>
      <c r="G12" s="18" t="s">
        <v>76</v>
      </c>
      <c r="H12" s="13"/>
      <c r="I12" s="18" t="s">
        <v>77</v>
      </c>
      <c r="J12" s="18" t="s">
        <v>78</v>
      </c>
      <c r="K12" s="28"/>
    </row>
    <row r="13" spans="1:11" ht="12.75">
      <c r="A13" s="13">
        <v>100</v>
      </c>
      <c r="B13" s="29">
        <f aca="true" t="shared" si="0" ref="B13:B32">+$B$2/$H$2</f>
        <v>1.6666666666666667</v>
      </c>
      <c r="C13" s="29">
        <f aca="true" t="shared" si="1" ref="C13:C32">+$B$2/($H$3*A13)</f>
        <v>10</v>
      </c>
      <c r="D13" s="29">
        <f>+$B$2*$B$3*0.6/(A13*100)</f>
        <v>8.4</v>
      </c>
      <c r="E13" s="29">
        <f aca="true" t="shared" si="2" ref="E13:E32">+$B$2*($H$5+$H$6)/(A13*100)</f>
        <v>0.6000000000000001</v>
      </c>
      <c r="F13" s="29">
        <f>+$E$2*$F$8*$B$4</f>
        <v>7.5</v>
      </c>
      <c r="G13" s="29">
        <f aca="true" t="shared" si="3" ref="G13:G32">+$E$2*$C$9*$J$8</f>
        <v>1.5</v>
      </c>
      <c r="H13" s="13"/>
      <c r="I13" s="30">
        <f aca="true" t="shared" si="4" ref="I13:I32">SUM(B13:G13)</f>
        <v>29.666666666666668</v>
      </c>
      <c r="J13" s="29">
        <f aca="true" t="shared" si="5" ref="J13:J32">+I13-F13</f>
        <v>22.166666666666668</v>
      </c>
      <c r="K13" s="31"/>
    </row>
    <row r="14" spans="1:11" ht="12.75">
      <c r="A14" s="13">
        <f aca="true" t="shared" si="6" ref="A14:A32">+A13+100</f>
        <v>200</v>
      </c>
      <c r="B14" s="29">
        <f t="shared" si="0"/>
        <v>1.6666666666666667</v>
      </c>
      <c r="C14" s="29">
        <f t="shared" si="1"/>
        <v>5</v>
      </c>
      <c r="D14" s="29">
        <f aca="true" t="shared" si="7" ref="D14:D32">+$B$2*$B$3*0.6/(A14*100)</f>
        <v>4.2</v>
      </c>
      <c r="E14" s="29">
        <f t="shared" si="2"/>
        <v>0.30000000000000004</v>
      </c>
      <c r="F14" s="29">
        <f aca="true" t="shared" si="8" ref="F14:F32">+$E$2*$F$8*$B$4</f>
        <v>7.5</v>
      </c>
      <c r="G14" s="29">
        <f t="shared" si="3"/>
        <v>1.5</v>
      </c>
      <c r="H14" s="13"/>
      <c r="I14" s="30">
        <f t="shared" si="4"/>
        <v>20.166666666666668</v>
      </c>
      <c r="J14" s="29">
        <f t="shared" si="5"/>
        <v>12.666666666666668</v>
      </c>
      <c r="K14" s="32"/>
    </row>
    <row r="15" spans="1:11" ht="12.75">
      <c r="A15" s="13">
        <f t="shared" si="6"/>
        <v>300</v>
      </c>
      <c r="B15" s="29">
        <f t="shared" si="0"/>
        <v>1.6666666666666667</v>
      </c>
      <c r="C15" s="29">
        <f t="shared" si="1"/>
        <v>3.3333333333333335</v>
      </c>
      <c r="D15" s="29">
        <f t="shared" si="7"/>
        <v>2.8</v>
      </c>
      <c r="E15" s="29">
        <f t="shared" si="2"/>
        <v>0.20000000000000004</v>
      </c>
      <c r="F15" s="29">
        <f t="shared" si="8"/>
        <v>7.5</v>
      </c>
      <c r="G15" s="29">
        <f t="shared" si="3"/>
        <v>1.5</v>
      </c>
      <c r="H15" s="13"/>
      <c r="I15" s="30">
        <f t="shared" si="4"/>
        <v>17</v>
      </c>
      <c r="J15" s="29">
        <f t="shared" si="5"/>
        <v>9.5</v>
      </c>
      <c r="K15" s="32"/>
    </row>
    <row r="16" spans="1:11" ht="12.75">
      <c r="A16" s="13">
        <f t="shared" si="6"/>
        <v>400</v>
      </c>
      <c r="B16" s="29">
        <f t="shared" si="0"/>
        <v>1.6666666666666667</v>
      </c>
      <c r="C16" s="29">
        <f t="shared" si="1"/>
        <v>2.5</v>
      </c>
      <c r="D16" s="29">
        <f t="shared" si="7"/>
        <v>2.1</v>
      </c>
      <c r="E16" s="29">
        <f t="shared" si="2"/>
        <v>0.15000000000000002</v>
      </c>
      <c r="F16" s="29">
        <f t="shared" si="8"/>
        <v>7.5</v>
      </c>
      <c r="G16" s="29">
        <f t="shared" si="3"/>
        <v>1.5</v>
      </c>
      <c r="H16" s="13"/>
      <c r="I16" s="30">
        <f t="shared" si="4"/>
        <v>15.416666666666668</v>
      </c>
      <c r="J16" s="29">
        <f t="shared" si="5"/>
        <v>7.916666666666668</v>
      </c>
      <c r="K16" s="32"/>
    </row>
    <row r="17" spans="1:11" ht="12.75">
      <c r="A17" s="13">
        <f t="shared" si="6"/>
        <v>500</v>
      </c>
      <c r="B17" s="29">
        <f t="shared" si="0"/>
        <v>1.6666666666666667</v>
      </c>
      <c r="C17" s="29">
        <f t="shared" si="1"/>
        <v>2</v>
      </c>
      <c r="D17" s="29">
        <f t="shared" si="7"/>
        <v>1.68</v>
      </c>
      <c r="E17" s="29">
        <f t="shared" si="2"/>
        <v>0.12000000000000002</v>
      </c>
      <c r="F17" s="29">
        <f t="shared" si="8"/>
        <v>7.5</v>
      </c>
      <c r="G17" s="29">
        <f t="shared" si="3"/>
        <v>1.5</v>
      </c>
      <c r="H17" s="13"/>
      <c r="I17" s="30">
        <f t="shared" si="4"/>
        <v>14.466666666666667</v>
      </c>
      <c r="J17" s="29">
        <f t="shared" si="5"/>
        <v>6.966666666666667</v>
      </c>
      <c r="K17" s="32"/>
    </row>
    <row r="18" spans="1:11" ht="12.75">
      <c r="A18" s="13">
        <f t="shared" si="6"/>
        <v>600</v>
      </c>
      <c r="B18" s="29">
        <f t="shared" si="0"/>
        <v>1.6666666666666667</v>
      </c>
      <c r="C18" s="29">
        <f t="shared" si="1"/>
        <v>1.6666666666666667</v>
      </c>
      <c r="D18" s="29">
        <f t="shared" si="7"/>
        <v>1.4</v>
      </c>
      <c r="E18" s="29">
        <f t="shared" si="2"/>
        <v>0.10000000000000002</v>
      </c>
      <c r="F18" s="29">
        <f t="shared" si="8"/>
        <v>7.5</v>
      </c>
      <c r="G18" s="29">
        <f t="shared" si="3"/>
        <v>1.5</v>
      </c>
      <c r="H18" s="13"/>
      <c r="I18" s="30">
        <f t="shared" si="4"/>
        <v>13.833333333333332</v>
      </c>
      <c r="J18" s="29">
        <f t="shared" si="5"/>
        <v>6.333333333333332</v>
      </c>
      <c r="K18" s="32"/>
    </row>
    <row r="19" spans="1:11" ht="12.75">
      <c r="A19" s="13">
        <f t="shared" si="6"/>
        <v>700</v>
      </c>
      <c r="B19" s="29">
        <f t="shared" si="0"/>
        <v>1.6666666666666667</v>
      </c>
      <c r="C19" s="29">
        <f t="shared" si="1"/>
        <v>1.4285714285714286</v>
      </c>
      <c r="D19" s="29">
        <f t="shared" si="7"/>
        <v>1.2</v>
      </c>
      <c r="E19" s="29">
        <f t="shared" si="2"/>
        <v>0.08571428571428573</v>
      </c>
      <c r="F19" s="29">
        <f t="shared" si="8"/>
        <v>7.5</v>
      </c>
      <c r="G19" s="29">
        <f t="shared" si="3"/>
        <v>1.5</v>
      </c>
      <c r="H19" s="13"/>
      <c r="I19" s="30">
        <f t="shared" si="4"/>
        <v>13.38095238095238</v>
      </c>
      <c r="J19" s="29">
        <f t="shared" si="5"/>
        <v>5.88095238095238</v>
      </c>
      <c r="K19" s="32"/>
    </row>
    <row r="20" spans="1:11" ht="12.75">
      <c r="A20" s="13">
        <f t="shared" si="6"/>
        <v>800</v>
      </c>
      <c r="B20" s="29">
        <f t="shared" si="0"/>
        <v>1.6666666666666667</v>
      </c>
      <c r="C20" s="29">
        <f t="shared" si="1"/>
        <v>1.25</v>
      </c>
      <c r="D20" s="29">
        <f t="shared" si="7"/>
        <v>1.05</v>
      </c>
      <c r="E20" s="29">
        <f t="shared" si="2"/>
        <v>0.07500000000000001</v>
      </c>
      <c r="F20" s="29">
        <f t="shared" si="8"/>
        <v>7.5</v>
      </c>
      <c r="G20" s="29">
        <f t="shared" si="3"/>
        <v>1.5</v>
      </c>
      <c r="H20" s="13"/>
      <c r="I20" s="30">
        <f t="shared" si="4"/>
        <v>13.041666666666668</v>
      </c>
      <c r="J20" s="29">
        <f t="shared" si="5"/>
        <v>5.541666666666668</v>
      </c>
      <c r="K20" s="32"/>
    </row>
    <row r="21" spans="1:11" ht="12.75">
      <c r="A21" s="13">
        <f t="shared" si="6"/>
        <v>900</v>
      </c>
      <c r="B21" s="29">
        <f t="shared" si="0"/>
        <v>1.6666666666666667</v>
      </c>
      <c r="C21" s="29">
        <f t="shared" si="1"/>
        <v>1.1111111111111112</v>
      </c>
      <c r="D21" s="29">
        <f t="shared" si="7"/>
        <v>0.9333333333333333</v>
      </c>
      <c r="E21" s="29">
        <f t="shared" si="2"/>
        <v>0.06666666666666668</v>
      </c>
      <c r="F21" s="29">
        <f t="shared" si="8"/>
        <v>7.5</v>
      </c>
      <c r="G21" s="29">
        <f t="shared" si="3"/>
        <v>1.5</v>
      </c>
      <c r="H21" s="13"/>
      <c r="I21" s="30">
        <f t="shared" si="4"/>
        <v>12.777777777777779</v>
      </c>
      <c r="J21" s="29">
        <f t="shared" si="5"/>
        <v>5.277777777777779</v>
      </c>
      <c r="K21" s="32"/>
    </row>
    <row r="22" spans="1:11" ht="12.75">
      <c r="A22" s="13">
        <f t="shared" si="6"/>
        <v>1000</v>
      </c>
      <c r="B22" s="29">
        <f t="shared" si="0"/>
        <v>1.6666666666666667</v>
      </c>
      <c r="C22" s="29">
        <f t="shared" si="1"/>
        <v>1</v>
      </c>
      <c r="D22" s="29">
        <f t="shared" si="7"/>
        <v>0.84</v>
      </c>
      <c r="E22" s="29">
        <f t="shared" si="2"/>
        <v>0.06000000000000001</v>
      </c>
      <c r="F22" s="29">
        <f t="shared" si="8"/>
        <v>7.5</v>
      </c>
      <c r="G22" s="29">
        <f t="shared" si="3"/>
        <v>1.5</v>
      </c>
      <c r="H22" s="13"/>
      <c r="I22" s="30">
        <f t="shared" si="4"/>
        <v>12.566666666666666</v>
      </c>
      <c r="J22" s="29">
        <f t="shared" si="5"/>
        <v>5.066666666666666</v>
      </c>
      <c r="K22" s="32"/>
    </row>
    <row r="23" spans="1:11" ht="12.75">
      <c r="A23" s="13">
        <f t="shared" si="6"/>
        <v>1100</v>
      </c>
      <c r="B23" s="29">
        <f t="shared" si="0"/>
        <v>1.6666666666666667</v>
      </c>
      <c r="C23" s="29">
        <f t="shared" si="1"/>
        <v>0.9090909090909091</v>
      </c>
      <c r="D23" s="29">
        <f t="shared" si="7"/>
        <v>0.7636363636363637</v>
      </c>
      <c r="E23" s="29">
        <f t="shared" si="2"/>
        <v>0.05454545454545456</v>
      </c>
      <c r="F23" s="29">
        <f t="shared" si="8"/>
        <v>7.5</v>
      </c>
      <c r="G23" s="29">
        <f t="shared" si="3"/>
        <v>1.5</v>
      </c>
      <c r="H23" s="13"/>
      <c r="I23" s="30">
        <f t="shared" si="4"/>
        <v>12.393939393939394</v>
      </c>
      <c r="J23" s="29">
        <f t="shared" si="5"/>
        <v>4.8939393939393945</v>
      </c>
      <c r="K23" s="32"/>
    </row>
    <row r="24" spans="1:11" ht="12.75">
      <c r="A24" s="13">
        <f t="shared" si="6"/>
        <v>1200</v>
      </c>
      <c r="B24" s="29">
        <f t="shared" si="0"/>
        <v>1.6666666666666667</v>
      </c>
      <c r="C24" s="29">
        <f t="shared" si="1"/>
        <v>0.8333333333333334</v>
      </c>
      <c r="D24" s="29">
        <f t="shared" si="7"/>
        <v>0.7</v>
      </c>
      <c r="E24" s="29">
        <f t="shared" si="2"/>
        <v>0.05000000000000001</v>
      </c>
      <c r="F24" s="29">
        <f t="shared" si="8"/>
        <v>7.5</v>
      </c>
      <c r="G24" s="29">
        <f t="shared" si="3"/>
        <v>1.5</v>
      </c>
      <c r="H24" s="13"/>
      <c r="I24" s="30">
        <f t="shared" si="4"/>
        <v>12.25</v>
      </c>
      <c r="J24" s="29">
        <f t="shared" si="5"/>
        <v>4.75</v>
      </c>
      <c r="K24" s="32"/>
    </row>
    <row r="25" spans="1:11" ht="12.75">
      <c r="A25" s="13">
        <f t="shared" si="6"/>
        <v>1300</v>
      </c>
      <c r="B25" s="29">
        <f t="shared" si="0"/>
        <v>1.6666666666666667</v>
      </c>
      <c r="C25" s="29">
        <f t="shared" si="1"/>
        <v>0.7692307692307693</v>
      </c>
      <c r="D25" s="29">
        <f t="shared" si="7"/>
        <v>0.6461538461538462</v>
      </c>
      <c r="E25" s="29">
        <f t="shared" si="2"/>
        <v>0.04615384615384616</v>
      </c>
      <c r="F25" s="29">
        <f t="shared" si="8"/>
        <v>7.5</v>
      </c>
      <c r="G25" s="29">
        <f t="shared" si="3"/>
        <v>1.5</v>
      </c>
      <c r="H25" s="13"/>
      <c r="I25" s="30">
        <f t="shared" si="4"/>
        <v>12.128205128205128</v>
      </c>
      <c r="J25" s="29">
        <f t="shared" si="5"/>
        <v>4.628205128205128</v>
      </c>
      <c r="K25" s="32"/>
    </row>
    <row r="26" spans="1:11" ht="12.75">
      <c r="A26" s="13">
        <f t="shared" si="6"/>
        <v>1400</v>
      </c>
      <c r="B26" s="29">
        <f t="shared" si="0"/>
        <v>1.6666666666666667</v>
      </c>
      <c r="C26" s="29">
        <f t="shared" si="1"/>
        <v>0.7142857142857143</v>
      </c>
      <c r="D26" s="29">
        <f t="shared" si="7"/>
        <v>0.6</v>
      </c>
      <c r="E26" s="29">
        <f t="shared" si="2"/>
        <v>0.042857142857142864</v>
      </c>
      <c r="F26" s="29">
        <f t="shared" si="8"/>
        <v>7.5</v>
      </c>
      <c r="G26" s="29">
        <f t="shared" si="3"/>
        <v>1.5</v>
      </c>
      <c r="H26" s="13"/>
      <c r="I26" s="30">
        <f t="shared" si="4"/>
        <v>12.023809523809524</v>
      </c>
      <c r="J26" s="29">
        <f t="shared" si="5"/>
        <v>4.523809523809524</v>
      </c>
      <c r="K26" s="32"/>
    </row>
    <row r="27" spans="1:11" ht="12.75">
      <c r="A27" s="13">
        <f t="shared" si="6"/>
        <v>1500</v>
      </c>
      <c r="B27" s="29">
        <f t="shared" si="0"/>
        <v>1.6666666666666667</v>
      </c>
      <c r="C27" s="29">
        <f t="shared" si="1"/>
        <v>0.6666666666666666</v>
      </c>
      <c r="D27" s="29">
        <f t="shared" si="7"/>
        <v>0.56</v>
      </c>
      <c r="E27" s="29">
        <f t="shared" si="2"/>
        <v>0.04000000000000001</v>
      </c>
      <c r="F27" s="29">
        <f t="shared" si="8"/>
        <v>7.5</v>
      </c>
      <c r="G27" s="29">
        <f t="shared" si="3"/>
        <v>1.5</v>
      </c>
      <c r="H27" s="13"/>
      <c r="I27" s="30">
        <f t="shared" si="4"/>
        <v>11.933333333333334</v>
      </c>
      <c r="J27" s="29">
        <f t="shared" si="5"/>
        <v>4.433333333333334</v>
      </c>
      <c r="K27" s="32"/>
    </row>
    <row r="28" spans="1:11" ht="12.75">
      <c r="A28" s="13">
        <f t="shared" si="6"/>
        <v>1600</v>
      </c>
      <c r="B28" s="29">
        <f t="shared" si="0"/>
        <v>1.6666666666666667</v>
      </c>
      <c r="C28" s="29">
        <f t="shared" si="1"/>
        <v>0.625</v>
      </c>
      <c r="D28" s="29">
        <f t="shared" si="7"/>
        <v>0.525</v>
      </c>
      <c r="E28" s="29">
        <f t="shared" si="2"/>
        <v>0.037500000000000006</v>
      </c>
      <c r="F28" s="29">
        <f t="shared" si="8"/>
        <v>7.5</v>
      </c>
      <c r="G28" s="29">
        <f t="shared" si="3"/>
        <v>1.5</v>
      </c>
      <c r="H28" s="13"/>
      <c r="I28" s="30">
        <f t="shared" si="4"/>
        <v>11.854166666666668</v>
      </c>
      <c r="J28" s="29">
        <f t="shared" si="5"/>
        <v>4.354166666666668</v>
      </c>
      <c r="K28" s="32"/>
    </row>
    <row r="29" spans="1:11" ht="12.75">
      <c r="A29" s="13">
        <f t="shared" si="6"/>
        <v>1700</v>
      </c>
      <c r="B29" s="29">
        <f t="shared" si="0"/>
        <v>1.6666666666666667</v>
      </c>
      <c r="C29" s="29">
        <f t="shared" si="1"/>
        <v>0.5882352941176471</v>
      </c>
      <c r="D29" s="29">
        <f t="shared" si="7"/>
        <v>0.49411764705882355</v>
      </c>
      <c r="E29" s="29">
        <f t="shared" si="2"/>
        <v>0.03529411764705883</v>
      </c>
      <c r="F29" s="29">
        <f t="shared" si="8"/>
        <v>7.5</v>
      </c>
      <c r="G29" s="29">
        <f t="shared" si="3"/>
        <v>1.5</v>
      </c>
      <c r="H29" s="13"/>
      <c r="I29" s="30">
        <f t="shared" si="4"/>
        <v>11.784313725490197</v>
      </c>
      <c r="J29" s="29">
        <f t="shared" si="5"/>
        <v>4.284313725490197</v>
      </c>
      <c r="K29" s="32"/>
    </row>
    <row r="30" spans="1:11" ht="12.75">
      <c r="A30" s="13">
        <f t="shared" si="6"/>
        <v>1800</v>
      </c>
      <c r="B30" s="29">
        <f t="shared" si="0"/>
        <v>1.6666666666666667</v>
      </c>
      <c r="C30" s="29">
        <f t="shared" si="1"/>
        <v>0.5555555555555556</v>
      </c>
      <c r="D30" s="29">
        <f t="shared" si="7"/>
        <v>0.4666666666666667</v>
      </c>
      <c r="E30" s="29">
        <f t="shared" si="2"/>
        <v>0.03333333333333334</v>
      </c>
      <c r="F30" s="29">
        <f t="shared" si="8"/>
        <v>7.5</v>
      </c>
      <c r="G30" s="29">
        <f t="shared" si="3"/>
        <v>1.5</v>
      </c>
      <c r="H30" s="13"/>
      <c r="I30" s="30">
        <f t="shared" si="4"/>
        <v>11.722222222222221</v>
      </c>
      <c r="J30" s="29">
        <f t="shared" si="5"/>
        <v>4.222222222222221</v>
      </c>
      <c r="K30" s="32"/>
    </row>
    <row r="31" spans="1:11" ht="12.75">
      <c r="A31" s="13">
        <f t="shared" si="6"/>
        <v>1900</v>
      </c>
      <c r="B31" s="29">
        <f t="shared" si="0"/>
        <v>1.6666666666666667</v>
      </c>
      <c r="C31" s="29">
        <f t="shared" si="1"/>
        <v>0.5263157894736842</v>
      </c>
      <c r="D31" s="29">
        <f t="shared" si="7"/>
        <v>0.4421052631578947</v>
      </c>
      <c r="E31" s="29">
        <f t="shared" si="2"/>
        <v>0.03157894736842106</v>
      </c>
      <c r="F31" s="29">
        <f t="shared" si="8"/>
        <v>7.5</v>
      </c>
      <c r="G31" s="29">
        <f t="shared" si="3"/>
        <v>1.5</v>
      </c>
      <c r="H31" s="13"/>
      <c r="I31" s="30">
        <f t="shared" si="4"/>
        <v>11.666666666666668</v>
      </c>
      <c r="J31" s="29">
        <f t="shared" si="5"/>
        <v>4.166666666666668</v>
      </c>
      <c r="K31" s="32"/>
    </row>
    <row r="32" spans="1:11" ht="12.75">
      <c r="A32" s="13">
        <f t="shared" si="6"/>
        <v>2000</v>
      </c>
      <c r="B32" s="29">
        <f t="shared" si="0"/>
        <v>1.6666666666666667</v>
      </c>
      <c r="C32" s="29">
        <f t="shared" si="1"/>
        <v>0.5</v>
      </c>
      <c r="D32" s="29">
        <f t="shared" si="7"/>
        <v>0.42</v>
      </c>
      <c r="E32" s="29">
        <f t="shared" si="2"/>
        <v>0.030000000000000006</v>
      </c>
      <c r="F32" s="29">
        <f t="shared" si="8"/>
        <v>7.5</v>
      </c>
      <c r="G32" s="29">
        <f t="shared" si="3"/>
        <v>1.5</v>
      </c>
      <c r="H32" s="13"/>
      <c r="I32" s="30">
        <f t="shared" si="4"/>
        <v>11.616666666666667</v>
      </c>
      <c r="J32" s="29">
        <f t="shared" si="5"/>
        <v>4.116666666666667</v>
      </c>
      <c r="K32" s="32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1"/>
    </row>
    <row r="34" spans="1:11" ht="12.75">
      <c r="A34" s="13"/>
      <c r="B34" s="13"/>
      <c r="C34" s="13"/>
      <c r="D34" s="13"/>
      <c r="E34" s="13"/>
      <c r="F34" s="13"/>
      <c r="G34" s="13"/>
      <c r="H34" s="13"/>
      <c r="K34" s="13"/>
    </row>
    <row r="35" spans="1:11" ht="12.75">
      <c r="A35" s="13"/>
      <c r="B35" s="19" t="s">
        <v>79</v>
      </c>
      <c r="C35" s="13"/>
      <c r="D35" s="13"/>
      <c r="E35" s="13"/>
      <c r="F35" s="13"/>
      <c r="G35" s="13"/>
      <c r="H35" s="13"/>
      <c r="I35" s="18" t="s">
        <v>80</v>
      </c>
      <c r="J35" s="18" t="s">
        <v>80</v>
      </c>
      <c r="K35" s="13"/>
    </row>
    <row r="36" spans="1:11" ht="13.5" thickBot="1">
      <c r="A36" s="18" t="s">
        <v>70</v>
      </c>
      <c r="B36" s="18" t="s">
        <v>71</v>
      </c>
      <c r="C36" s="18" t="s">
        <v>72</v>
      </c>
      <c r="D36" s="18" t="s">
        <v>73</v>
      </c>
      <c r="E36" s="18" t="s">
        <v>74</v>
      </c>
      <c r="F36" s="18" t="s">
        <v>75</v>
      </c>
      <c r="G36" s="18" t="s">
        <v>76</v>
      </c>
      <c r="H36" s="13"/>
      <c r="I36" s="18" t="s">
        <v>77</v>
      </c>
      <c r="J36" s="18" t="s">
        <v>81</v>
      </c>
      <c r="K36" s="18" t="s">
        <v>82</v>
      </c>
    </row>
    <row r="37" spans="1:11" ht="12.75">
      <c r="A37" s="13">
        <f aca="true" t="shared" si="9" ref="A37:A56">+A13</f>
        <v>100</v>
      </c>
      <c r="B37" s="33">
        <f aca="true" t="shared" si="10" ref="B37:B56">+B13*A37</f>
        <v>166.66666666666669</v>
      </c>
      <c r="C37" s="33">
        <f aca="true" t="shared" si="11" ref="C37:C56">+C13*A37</f>
        <v>1000</v>
      </c>
      <c r="D37" s="33">
        <f aca="true" t="shared" si="12" ref="D37:D56">+D13*A37</f>
        <v>840</v>
      </c>
      <c r="E37" s="33">
        <f aca="true" t="shared" si="13" ref="E37:E56">+E13*A37</f>
        <v>60.00000000000001</v>
      </c>
      <c r="F37" s="33">
        <f aca="true" t="shared" si="14" ref="F37:F56">+F13*A37</f>
        <v>750</v>
      </c>
      <c r="G37" s="33">
        <f aca="true" t="shared" si="15" ref="G37:G56">+G13*A37</f>
        <v>150</v>
      </c>
      <c r="H37" s="13"/>
      <c r="I37" s="34">
        <f aca="true" t="shared" si="16" ref="I37:I56">SUM(B37:G37)</f>
        <v>2966.666666666667</v>
      </c>
      <c r="J37" s="35">
        <f aca="true" t="shared" si="17" ref="J37:J56">+I37-F37</f>
        <v>2216.666666666667</v>
      </c>
      <c r="K37" s="36">
        <f aca="true" t="shared" si="18" ref="K37:K56">+F37/$B$4</f>
        <v>750</v>
      </c>
    </row>
    <row r="38" spans="1:11" ht="12.75">
      <c r="A38" s="13">
        <f t="shared" si="9"/>
        <v>200</v>
      </c>
      <c r="B38" s="33">
        <f t="shared" si="10"/>
        <v>333.33333333333337</v>
      </c>
      <c r="C38" s="33">
        <f t="shared" si="11"/>
        <v>1000</v>
      </c>
      <c r="D38" s="33">
        <f t="shared" si="12"/>
        <v>840</v>
      </c>
      <c r="E38" s="33">
        <f t="shared" si="13"/>
        <v>60.00000000000001</v>
      </c>
      <c r="F38" s="33">
        <f t="shared" si="14"/>
        <v>1500</v>
      </c>
      <c r="G38" s="33">
        <f t="shared" si="15"/>
        <v>300</v>
      </c>
      <c r="H38" s="13"/>
      <c r="I38" s="37">
        <f t="shared" si="16"/>
        <v>4033.3333333333335</v>
      </c>
      <c r="J38" s="38">
        <f t="shared" si="17"/>
        <v>2533.3333333333335</v>
      </c>
      <c r="K38" s="39">
        <f t="shared" si="18"/>
        <v>1500</v>
      </c>
    </row>
    <row r="39" spans="1:11" ht="12.75">
      <c r="A39" s="13">
        <f t="shared" si="9"/>
        <v>300</v>
      </c>
      <c r="B39" s="33">
        <f t="shared" si="10"/>
        <v>500</v>
      </c>
      <c r="C39" s="33">
        <f t="shared" si="11"/>
        <v>1000</v>
      </c>
      <c r="D39" s="33">
        <f t="shared" si="12"/>
        <v>840</v>
      </c>
      <c r="E39" s="33">
        <f t="shared" si="13"/>
        <v>60.000000000000014</v>
      </c>
      <c r="F39" s="33">
        <f t="shared" si="14"/>
        <v>2250</v>
      </c>
      <c r="G39" s="33">
        <f t="shared" si="15"/>
        <v>450</v>
      </c>
      <c r="H39" s="13"/>
      <c r="I39" s="37">
        <f t="shared" si="16"/>
        <v>5100</v>
      </c>
      <c r="J39" s="38">
        <f t="shared" si="17"/>
        <v>2850</v>
      </c>
      <c r="K39" s="39">
        <f t="shared" si="18"/>
        <v>2250</v>
      </c>
    </row>
    <row r="40" spans="1:11" ht="12.75">
      <c r="A40" s="13">
        <f t="shared" si="9"/>
        <v>400</v>
      </c>
      <c r="B40" s="33">
        <f t="shared" si="10"/>
        <v>666.6666666666667</v>
      </c>
      <c r="C40" s="33">
        <f t="shared" si="11"/>
        <v>1000</v>
      </c>
      <c r="D40" s="33">
        <f t="shared" si="12"/>
        <v>840</v>
      </c>
      <c r="E40" s="33">
        <f t="shared" si="13"/>
        <v>60.00000000000001</v>
      </c>
      <c r="F40" s="33">
        <f t="shared" si="14"/>
        <v>3000</v>
      </c>
      <c r="G40" s="33">
        <f t="shared" si="15"/>
        <v>600</v>
      </c>
      <c r="H40" s="13"/>
      <c r="I40" s="37">
        <f t="shared" si="16"/>
        <v>6166.666666666667</v>
      </c>
      <c r="J40" s="38">
        <f t="shared" si="17"/>
        <v>3166.666666666667</v>
      </c>
      <c r="K40" s="39">
        <f t="shared" si="18"/>
        <v>3000</v>
      </c>
    </row>
    <row r="41" spans="1:11" ht="12.75">
      <c r="A41" s="13">
        <f t="shared" si="9"/>
        <v>500</v>
      </c>
      <c r="B41" s="33">
        <f t="shared" si="10"/>
        <v>833.3333333333334</v>
      </c>
      <c r="C41" s="33">
        <f t="shared" si="11"/>
        <v>1000</v>
      </c>
      <c r="D41" s="33">
        <f t="shared" si="12"/>
        <v>840</v>
      </c>
      <c r="E41" s="33">
        <f t="shared" si="13"/>
        <v>60.000000000000014</v>
      </c>
      <c r="F41" s="33">
        <f t="shared" si="14"/>
        <v>3750</v>
      </c>
      <c r="G41" s="33">
        <f t="shared" si="15"/>
        <v>750</v>
      </c>
      <c r="H41" s="13"/>
      <c r="I41" s="37">
        <f t="shared" si="16"/>
        <v>7233.333333333334</v>
      </c>
      <c r="J41" s="38">
        <f t="shared" si="17"/>
        <v>3483.333333333334</v>
      </c>
      <c r="K41" s="39">
        <f t="shared" si="18"/>
        <v>3750</v>
      </c>
    </row>
    <row r="42" spans="1:11" ht="12.75">
      <c r="A42" s="13">
        <f t="shared" si="9"/>
        <v>600</v>
      </c>
      <c r="B42" s="33">
        <f t="shared" si="10"/>
        <v>1000</v>
      </c>
      <c r="C42" s="33">
        <f t="shared" si="11"/>
        <v>1000</v>
      </c>
      <c r="D42" s="33">
        <f t="shared" si="12"/>
        <v>840</v>
      </c>
      <c r="E42" s="33">
        <f t="shared" si="13"/>
        <v>60.000000000000014</v>
      </c>
      <c r="F42" s="33">
        <f t="shared" si="14"/>
        <v>4500</v>
      </c>
      <c r="G42" s="33">
        <f t="shared" si="15"/>
        <v>900</v>
      </c>
      <c r="H42" s="13"/>
      <c r="I42" s="37">
        <f t="shared" si="16"/>
        <v>8300</v>
      </c>
      <c r="J42" s="38">
        <f t="shared" si="17"/>
        <v>3800</v>
      </c>
      <c r="K42" s="39">
        <f t="shared" si="18"/>
        <v>4500</v>
      </c>
    </row>
    <row r="43" spans="1:11" ht="12.75">
      <c r="A43" s="13">
        <f t="shared" si="9"/>
        <v>700</v>
      </c>
      <c r="B43" s="33">
        <f t="shared" si="10"/>
        <v>1166.6666666666667</v>
      </c>
      <c r="C43" s="33">
        <f t="shared" si="11"/>
        <v>1000</v>
      </c>
      <c r="D43" s="33">
        <f t="shared" si="12"/>
        <v>840</v>
      </c>
      <c r="E43" s="33">
        <f t="shared" si="13"/>
        <v>60.00000000000001</v>
      </c>
      <c r="F43" s="33">
        <f t="shared" si="14"/>
        <v>5250</v>
      </c>
      <c r="G43" s="33">
        <f t="shared" si="15"/>
        <v>1050</v>
      </c>
      <c r="H43" s="13"/>
      <c r="I43" s="37">
        <f t="shared" si="16"/>
        <v>9366.666666666668</v>
      </c>
      <c r="J43" s="38">
        <f t="shared" si="17"/>
        <v>4116.666666666668</v>
      </c>
      <c r="K43" s="39">
        <f t="shared" si="18"/>
        <v>5250</v>
      </c>
    </row>
    <row r="44" spans="1:11" ht="12.75">
      <c r="A44" s="13">
        <f t="shared" si="9"/>
        <v>800</v>
      </c>
      <c r="B44" s="33">
        <f t="shared" si="10"/>
        <v>1333.3333333333335</v>
      </c>
      <c r="C44" s="33">
        <f t="shared" si="11"/>
        <v>1000</v>
      </c>
      <c r="D44" s="33">
        <f t="shared" si="12"/>
        <v>840</v>
      </c>
      <c r="E44" s="33">
        <f t="shared" si="13"/>
        <v>60.00000000000001</v>
      </c>
      <c r="F44" s="33">
        <f t="shared" si="14"/>
        <v>6000</v>
      </c>
      <c r="G44" s="33">
        <f t="shared" si="15"/>
        <v>1200</v>
      </c>
      <c r="H44" s="13"/>
      <c r="I44" s="37">
        <f t="shared" si="16"/>
        <v>10433.333333333334</v>
      </c>
      <c r="J44" s="38">
        <f t="shared" si="17"/>
        <v>4433.333333333334</v>
      </c>
      <c r="K44" s="39">
        <f t="shared" si="18"/>
        <v>6000</v>
      </c>
    </row>
    <row r="45" spans="1:11" ht="12.75">
      <c r="A45" s="13">
        <f t="shared" si="9"/>
        <v>900</v>
      </c>
      <c r="B45" s="33">
        <f t="shared" si="10"/>
        <v>1500</v>
      </c>
      <c r="C45" s="33">
        <f t="shared" si="11"/>
        <v>1000</v>
      </c>
      <c r="D45" s="33">
        <f t="shared" si="12"/>
        <v>840</v>
      </c>
      <c r="E45" s="33">
        <f t="shared" si="13"/>
        <v>60.000000000000014</v>
      </c>
      <c r="F45" s="33">
        <f t="shared" si="14"/>
        <v>6750</v>
      </c>
      <c r="G45" s="33">
        <f t="shared" si="15"/>
        <v>1350</v>
      </c>
      <c r="H45" s="13"/>
      <c r="I45" s="37">
        <f t="shared" si="16"/>
        <v>11500</v>
      </c>
      <c r="J45" s="38">
        <f t="shared" si="17"/>
        <v>4750</v>
      </c>
      <c r="K45" s="39">
        <f t="shared" si="18"/>
        <v>6750</v>
      </c>
    </row>
    <row r="46" spans="1:11" ht="12.75">
      <c r="A46" s="13">
        <f t="shared" si="9"/>
        <v>1000</v>
      </c>
      <c r="B46" s="33">
        <f t="shared" si="10"/>
        <v>1666.6666666666667</v>
      </c>
      <c r="C46" s="33">
        <f t="shared" si="11"/>
        <v>1000</v>
      </c>
      <c r="D46" s="33">
        <f t="shared" si="12"/>
        <v>840</v>
      </c>
      <c r="E46" s="33">
        <f t="shared" si="13"/>
        <v>60.000000000000014</v>
      </c>
      <c r="F46" s="33">
        <f t="shared" si="14"/>
        <v>7500</v>
      </c>
      <c r="G46" s="33">
        <f t="shared" si="15"/>
        <v>1500</v>
      </c>
      <c r="H46" s="13"/>
      <c r="I46" s="37">
        <f t="shared" si="16"/>
        <v>12566.666666666668</v>
      </c>
      <c r="J46" s="38">
        <f t="shared" si="17"/>
        <v>5066.666666666668</v>
      </c>
      <c r="K46" s="39">
        <f t="shared" si="18"/>
        <v>7500</v>
      </c>
    </row>
    <row r="47" spans="1:11" ht="12.75">
      <c r="A47" s="13">
        <f t="shared" si="9"/>
        <v>1100</v>
      </c>
      <c r="B47" s="33">
        <f t="shared" si="10"/>
        <v>1833.3333333333335</v>
      </c>
      <c r="C47" s="33">
        <f t="shared" si="11"/>
        <v>1000</v>
      </c>
      <c r="D47" s="33">
        <f t="shared" si="12"/>
        <v>840</v>
      </c>
      <c r="E47" s="33">
        <f t="shared" si="13"/>
        <v>60.000000000000014</v>
      </c>
      <c r="F47" s="33">
        <f t="shared" si="14"/>
        <v>8250</v>
      </c>
      <c r="G47" s="33">
        <f t="shared" si="15"/>
        <v>1650</v>
      </c>
      <c r="H47" s="13"/>
      <c r="I47" s="37">
        <f t="shared" si="16"/>
        <v>13633.333333333334</v>
      </c>
      <c r="J47" s="38">
        <f t="shared" si="17"/>
        <v>5383.333333333334</v>
      </c>
      <c r="K47" s="39">
        <f t="shared" si="18"/>
        <v>8250</v>
      </c>
    </row>
    <row r="48" spans="1:11" ht="12.75">
      <c r="A48" s="13">
        <f t="shared" si="9"/>
        <v>1200</v>
      </c>
      <c r="B48" s="33">
        <f t="shared" si="10"/>
        <v>2000</v>
      </c>
      <c r="C48" s="33">
        <f t="shared" si="11"/>
        <v>1000</v>
      </c>
      <c r="D48" s="33">
        <f t="shared" si="12"/>
        <v>840</v>
      </c>
      <c r="E48" s="33">
        <f t="shared" si="13"/>
        <v>60.000000000000014</v>
      </c>
      <c r="F48" s="33">
        <f t="shared" si="14"/>
        <v>9000</v>
      </c>
      <c r="G48" s="33">
        <f t="shared" si="15"/>
        <v>1800</v>
      </c>
      <c r="H48" s="13"/>
      <c r="I48" s="37">
        <f t="shared" si="16"/>
        <v>14700</v>
      </c>
      <c r="J48" s="38">
        <f t="shared" si="17"/>
        <v>5700</v>
      </c>
      <c r="K48" s="39">
        <f t="shared" si="18"/>
        <v>9000</v>
      </c>
    </row>
    <row r="49" spans="1:11" ht="12.75">
      <c r="A49" s="13">
        <f t="shared" si="9"/>
        <v>1300</v>
      </c>
      <c r="B49" s="33">
        <f t="shared" si="10"/>
        <v>2166.666666666667</v>
      </c>
      <c r="C49" s="33">
        <f t="shared" si="11"/>
        <v>1000</v>
      </c>
      <c r="D49" s="33">
        <f t="shared" si="12"/>
        <v>840</v>
      </c>
      <c r="E49" s="33">
        <f t="shared" si="13"/>
        <v>60.000000000000014</v>
      </c>
      <c r="F49" s="33">
        <f t="shared" si="14"/>
        <v>9750</v>
      </c>
      <c r="G49" s="33">
        <f t="shared" si="15"/>
        <v>1950</v>
      </c>
      <c r="H49" s="13"/>
      <c r="I49" s="37">
        <f t="shared" si="16"/>
        <v>15766.666666666668</v>
      </c>
      <c r="J49" s="38">
        <f t="shared" si="17"/>
        <v>6016.666666666668</v>
      </c>
      <c r="K49" s="39">
        <f t="shared" si="18"/>
        <v>9750</v>
      </c>
    </row>
    <row r="50" spans="1:11" ht="12.75">
      <c r="A50" s="13">
        <f t="shared" si="9"/>
        <v>1400</v>
      </c>
      <c r="B50" s="33">
        <f t="shared" si="10"/>
        <v>2333.3333333333335</v>
      </c>
      <c r="C50" s="33">
        <f t="shared" si="11"/>
        <v>1000</v>
      </c>
      <c r="D50" s="33">
        <f t="shared" si="12"/>
        <v>840</v>
      </c>
      <c r="E50" s="33">
        <f t="shared" si="13"/>
        <v>60.00000000000001</v>
      </c>
      <c r="F50" s="33">
        <f t="shared" si="14"/>
        <v>10500</v>
      </c>
      <c r="G50" s="33">
        <f t="shared" si="15"/>
        <v>2100</v>
      </c>
      <c r="H50" s="13"/>
      <c r="I50" s="37">
        <f t="shared" si="16"/>
        <v>16833.333333333336</v>
      </c>
      <c r="J50" s="38">
        <f t="shared" si="17"/>
        <v>6333.333333333336</v>
      </c>
      <c r="K50" s="39">
        <f t="shared" si="18"/>
        <v>10500</v>
      </c>
    </row>
    <row r="51" spans="1:11" ht="12.75">
      <c r="A51" s="13">
        <f t="shared" si="9"/>
        <v>1500</v>
      </c>
      <c r="B51" s="33">
        <f t="shared" si="10"/>
        <v>2500</v>
      </c>
      <c r="C51" s="33">
        <f t="shared" si="11"/>
        <v>1000</v>
      </c>
      <c r="D51" s="33">
        <f t="shared" si="12"/>
        <v>840.0000000000001</v>
      </c>
      <c r="E51" s="33">
        <f t="shared" si="13"/>
        <v>60.000000000000014</v>
      </c>
      <c r="F51" s="33">
        <f t="shared" si="14"/>
        <v>11250</v>
      </c>
      <c r="G51" s="33">
        <f t="shared" si="15"/>
        <v>2250</v>
      </c>
      <c r="H51" s="13"/>
      <c r="I51" s="37">
        <f t="shared" si="16"/>
        <v>17900</v>
      </c>
      <c r="J51" s="38">
        <f t="shared" si="17"/>
        <v>6650</v>
      </c>
      <c r="K51" s="39">
        <f t="shared" si="18"/>
        <v>11250</v>
      </c>
    </row>
    <row r="52" spans="1:11" ht="12.75">
      <c r="A52" s="40">
        <f t="shared" si="9"/>
        <v>1600</v>
      </c>
      <c r="B52" s="41">
        <f t="shared" si="10"/>
        <v>2666.666666666667</v>
      </c>
      <c r="C52" s="41">
        <f t="shared" si="11"/>
        <v>1000</v>
      </c>
      <c r="D52" s="41">
        <f t="shared" si="12"/>
        <v>840</v>
      </c>
      <c r="E52" s="41">
        <f t="shared" si="13"/>
        <v>60.00000000000001</v>
      </c>
      <c r="F52" s="41">
        <f t="shared" si="14"/>
        <v>12000</v>
      </c>
      <c r="G52" s="41">
        <f t="shared" si="15"/>
        <v>2400</v>
      </c>
      <c r="H52" s="40"/>
      <c r="I52" s="42">
        <f t="shared" si="16"/>
        <v>18966.666666666668</v>
      </c>
      <c r="J52" s="43">
        <f t="shared" si="17"/>
        <v>6966.666666666668</v>
      </c>
      <c r="K52" s="44">
        <f t="shared" si="18"/>
        <v>12000</v>
      </c>
    </row>
    <row r="53" spans="1:11" ht="12.75">
      <c r="A53" s="13">
        <f t="shared" si="9"/>
        <v>1700</v>
      </c>
      <c r="B53" s="33">
        <f t="shared" si="10"/>
        <v>2833.3333333333335</v>
      </c>
      <c r="C53" s="33">
        <f t="shared" si="11"/>
        <v>1000</v>
      </c>
      <c r="D53" s="33">
        <f t="shared" si="12"/>
        <v>840</v>
      </c>
      <c r="E53" s="33">
        <f t="shared" si="13"/>
        <v>60.000000000000014</v>
      </c>
      <c r="F53" s="33">
        <f t="shared" si="14"/>
        <v>12750</v>
      </c>
      <c r="G53" s="33">
        <f t="shared" si="15"/>
        <v>2550</v>
      </c>
      <c r="H53" s="13"/>
      <c r="I53" s="37">
        <f t="shared" si="16"/>
        <v>20033.333333333336</v>
      </c>
      <c r="J53" s="38">
        <f t="shared" si="17"/>
        <v>7283.333333333336</v>
      </c>
      <c r="K53" s="39">
        <f t="shared" si="18"/>
        <v>12750</v>
      </c>
    </row>
    <row r="54" spans="1:11" ht="12.75">
      <c r="A54" s="13">
        <f t="shared" si="9"/>
        <v>1800</v>
      </c>
      <c r="B54" s="33">
        <f t="shared" si="10"/>
        <v>3000</v>
      </c>
      <c r="C54" s="33">
        <f t="shared" si="11"/>
        <v>1000</v>
      </c>
      <c r="D54" s="33">
        <f t="shared" si="12"/>
        <v>840</v>
      </c>
      <c r="E54" s="33">
        <f t="shared" si="13"/>
        <v>60.000000000000014</v>
      </c>
      <c r="F54" s="33">
        <f t="shared" si="14"/>
        <v>13500</v>
      </c>
      <c r="G54" s="33">
        <f t="shared" si="15"/>
        <v>2700</v>
      </c>
      <c r="H54" s="13"/>
      <c r="I54" s="37">
        <f t="shared" si="16"/>
        <v>21100</v>
      </c>
      <c r="J54" s="38">
        <f t="shared" si="17"/>
        <v>7600</v>
      </c>
      <c r="K54" s="39">
        <f t="shared" si="18"/>
        <v>13500</v>
      </c>
    </row>
    <row r="55" spans="1:11" ht="12.75">
      <c r="A55" s="13">
        <f t="shared" si="9"/>
        <v>1900</v>
      </c>
      <c r="B55" s="33">
        <f t="shared" si="10"/>
        <v>3166.666666666667</v>
      </c>
      <c r="C55" s="33">
        <f t="shared" si="11"/>
        <v>1000</v>
      </c>
      <c r="D55" s="33">
        <f t="shared" si="12"/>
        <v>840</v>
      </c>
      <c r="E55" s="33">
        <f t="shared" si="13"/>
        <v>60.000000000000014</v>
      </c>
      <c r="F55" s="33">
        <f t="shared" si="14"/>
        <v>14250</v>
      </c>
      <c r="G55" s="33">
        <f t="shared" si="15"/>
        <v>2850</v>
      </c>
      <c r="H55" s="13"/>
      <c r="I55" s="37">
        <f t="shared" si="16"/>
        <v>22166.666666666668</v>
      </c>
      <c r="J55" s="38">
        <f t="shared" si="17"/>
        <v>7916.666666666668</v>
      </c>
      <c r="K55" s="39">
        <f t="shared" si="18"/>
        <v>14250</v>
      </c>
    </row>
    <row r="56" spans="1:11" ht="13.5" thickBot="1">
      <c r="A56" s="13">
        <f t="shared" si="9"/>
        <v>2000</v>
      </c>
      <c r="B56" s="33">
        <f t="shared" si="10"/>
        <v>3333.3333333333335</v>
      </c>
      <c r="C56" s="33">
        <f t="shared" si="11"/>
        <v>1000</v>
      </c>
      <c r="D56" s="33">
        <f t="shared" si="12"/>
        <v>840</v>
      </c>
      <c r="E56" s="33">
        <f t="shared" si="13"/>
        <v>60.000000000000014</v>
      </c>
      <c r="F56" s="33">
        <f t="shared" si="14"/>
        <v>15000</v>
      </c>
      <c r="G56" s="33">
        <f t="shared" si="15"/>
        <v>3000</v>
      </c>
      <c r="H56" s="13"/>
      <c r="I56" s="45">
        <f t="shared" si="16"/>
        <v>23233.333333333336</v>
      </c>
      <c r="J56" s="46">
        <f t="shared" si="17"/>
        <v>8233.333333333336</v>
      </c>
      <c r="K56" s="47">
        <f t="shared" si="18"/>
        <v>15000</v>
      </c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2014-06-27T09:34:54Z</cp:lastPrinted>
  <dcterms:created xsi:type="dcterms:W3CDTF">2008-03-22T11:28:43Z</dcterms:created>
  <dcterms:modified xsi:type="dcterms:W3CDTF">2014-06-27T09:36:31Z</dcterms:modified>
  <cp:category/>
  <cp:version/>
  <cp:contentType/>
  <cp:contentStatus/>
</cp:coreProperties>
</file>